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firstSheet="5" activeTab="8"/>
  </bookViews>
  <sheets>
    <sheet name="прил.1ИСТОЧ.ФИН.ДЕФИЦ.БТ" sheetId="5" r:id="rId1"/>
    <sheet name="прил.2 ДОХОДЫ" sheetId="2" r:id="rId2"/>
    <sheet name="прил.3.МБТ" sheetId="4" r:id="rId3"/>
    <sheet name="прил.4.РАСХ.ИСПОЛН." sheetId="6" r:id="rId4"/>
    <sheet name="прил.5 ВЕДОМ.СТР.РАСХ." sheetId="1" r:id="rId5"/>
    <sheet name="прил.6. МЦП" sheetId="7" r:id="rId6"/>
    <sheet name="6.1 распред.бюдж ассиг-ний" sheetId="10" r:id="rId7"/>
    <sheet name="прил.7 числ.факт расх." sheetId="3" r:id="rId8"/>
    <sheet name="прил.8 ОТЧЕТ ПО ИСП.РЕЗЕРВ.ФОНД" sheetId="8" r:id="rId9"/>
    <sheet name="Лист1" sheetId="11" r:id="rId10"/>
  </sheets>
  <definedNames>
    <definedName name="_xlnm._FilterDatabase" localSheetId="4" hidden="1">'прил.5 ВЕДОМ.СТР.РАСХ.'!$A$1:$A$178</definedName>
    <definedName name="_xlnm.Print_Area" localSheetId="6">'6.1 распред.бюдж ассиг-ний'!$A$1:$Q$168</definedName>
    <definedName name="_xlnm.Print_Area" localSheetId="1">'прил.2 ДОХОДЫ'!$A$1:$G$60</definedName>
    <definedName name="_xlnm.Print_Area" localSheetId="3">прил.4.РАСХ.ИСПОЛН.!$A$1:$I$43</definedName>
    <definedName name="_xlnm.Print_Area" localSheetId="4">'прил.5 ВЕДОМ.СТР.РАСХ.'!$A$1:$L$175</definedName>
    <definedName name="_xlnm.Print_Area" localSheetId="5">'прил.6. МЦП'!$A$1:$R$61</definedName>
  </definedNames>
  <calcPr calcId="125725"/>
</workbook>
</file>

<file path=xl/calcChain.xml><?xml version="1.0" encoding="utf-8"?>
<calcChain xmlns="http://schemas.openxmlformats.org/spreadsheetml/2006/main">
  <c r="D60" i="2"/>
  <c r="E60"/>
  <c r="F60"/>
  <c r="D41"/>
  <c r="E41"/>
  <c r="D42"/>
  <c r="E42"/>
  <c r="F42"/>
  <c r="S35" i="7" l="1"/>
  <c r="V8"/>
  <c r="M163" i="1"/>
  <c r="K163" l="1"/>
  <c r="J51" i="7" l="1"/>
  <c r="R34"/>
  <c r="F15" i="2" l="1"/>
  <c r="F14"/>
  <c r="F13"/>
  <c r="F11"/>
  <c r="F9"/>
  <c r="E99" i="1" l="1"/>
  <c r="O7"/>
  <c r="H167" i="10"/>
  <c r="I167"/>
  <c r="J167"/>
  <c r="K167"/>
  <c r="L167"/>
  <c r="M167"/>
  <c r="N167"/>
  <c r="O167"/>
  <c r="D49" i="2"/>
  <c r="I49" s="1"/>
  <c r="P68" i="10"/>
  <c r="G68"/>
  <c r="P67"/>
  <c r="G67"/>
  <c r="E67"/>
  <c r="J26" i="7"/>
  <c r="R32"/>
  <c r="J23"/>
  <c r="K48" i="1"/>
  <c r="E48"/>
  <c r="L141"/>
  <c r="F107"/>
  <c r="G107"/>
  <c r="H107"/>
  <c r="I107"/>
  <c r="J107"/>
  <c r="F175"/>
  <c r="G175"/>
  <c r="H175"/>
  <c r="I175"/>
  <c r="J175"/>
  <c r="F60"/>
  <c r="G60"/>
  <c r="H60"/>
  <c r="I60"/>
  <c r="J60"/>
  <c r="O28"/>
  <c r="O17"/>
  <c r="O15"/>
  <c r="O14"/>
  <c r="E163"/>
  <c r="K143"/>
  <c r="K135"/>
  <c r="E135"/>
  <c r="K134"/>
  <c r="E134"/>
  <c r="K121"/>
  <c r="K101"/>
  <c r="E101"/>
  <c r="K99"/>
  <c r="K96"/>
  <c r="E96"/>
  <c r="K94"/>
  <c r="E94"/>
  <c r="K85"/>
  <c r="K75"/>
  <c r="E75"/>
  <c r="L68"/>
  <c r="J68"/>
  <c r="K67"/>
  <c r="E67"/>
  <c r="K62"/>
  <c r="E62"/>
  <c r="K59"/>
  <c r="K57"/>
  <c r="E57"/>
  <c r="E53"/>
  <c r="E51"/>
  <c r="K14"/>
  <c r="D11" i="6"/>
  <c r="O8" i="1" s="1"/>
  <c r="G42" i="6"/>
  <c r="O30" i="1" s="1"/>
  <c r="D42" i="6"/>
  <c r="G37"/>
  <c r="O27" i="1" s="1"/>
  <c r="D37" i="6"/>
  <c r="G35"/>
  <c r="O26" i="1" s="1"/>
  <c r="D35" i="6"/>
  <c r="G32"/>
  <c r="G31"/>
  <c r="D32"/>
  <c r="D31"/>
  <c r="G30"/>
  <c r="D30"/>
  <c r="G28"/>
  <c r="D28"/>
  <c r="G26"/>
  <c r="D26"/>
  <c r="G17"/>
  <c r="O13" i="1" s="1"/>
  <c r="D17" i="6"/>
  <c r="G15"/>
  <c r="O12" i="1" s="1"/>
  <c r="D15" i="6"/>
  <c r="G11"/>
  <c r="D19" i="4"/>
  <c r="C19"/>
  <c r="D16"/>
  <c r="C16"/>
  <c r="D15"/>
  <c r="D21" s="1"/>
  <c r="C15"/>
  <c r="C21" s="1"/>
  <c r="E13"/>
  <c r="E11"/>
  <c r="E12"/>
  <c r="G17" i="2"/>
  <c r="G20"/>
  <c r="G22"/>
  <c r="G23"/>
  <c r="G24"/>
  <c r="G27"/>
  <c r="G28"/>
  <c r="G29"/>
  <c r="G31"/>
  <c r="G32"/>
  <c r="G33"/>
  <c r="G35"/>
  <c r="G38"/>
  <c r="G40"/>
  <c r="G44"/>
  <c r="G45"/>
  <c r="G47"/>
  <c r="G52"/>
  <c r="G54"/>
  <c r="D43"/>
  <c r="E34"/>
  <c r="F34"/>
  <c r="E30"/>
  <c r="F30"/>
  <c r="D30"/>
  <c r="E26"/>
  <c r="F26"/>
  <c r="F25" s="1"/>
  <c r="D26"/>
  <c r="E19"/>
  <c r="F8"/>
  <c r="F10"/>
  <c r="D11"/>
  <c r="G11" s="1"/>
  <c r="F55"/>
  <c r="D55"/>
  <c r="I55" s="1"/>
  <c r="E51"/>
  <c r="E50" s="1"/>
  <c r="F51"/>
  <c r="F50" s="1"/>
  <c r="D51"/>
  <c r="I51" s="1"/>
  <c r="F49"/>
  <c r="G49" s="1"/>
  <c r="D48"/>
  <c r="G48" s="1"/>
  <c r="F39"/>
  <c r="G39" s="1"/>
  <c r="F21"/>
  <c r="F19" s="1"/>
  <c r="D21"/>
  <c r="D19" s="1"/>
  <c r="D15"/>
  <c r="G15" s="1"/>
  <c r="D14"/>
  <c r="D12" s="1"/>
  <c r="G13"/>
  <c r="E9"/>
  <c r="E8" s="1"/>
  <c r="E11"/>
  <c r="E10" s="1"/>
  <c r="E13"/>
  <c r="E14"/>
  <c r="E15"/>
  <c r="E16"/>
  <c r="E25"/>
  <c r="E37"/>
  <c r="E36" s="1"/>
  <c r="E44"/>
  <c r="E45"/>
  <c r="E49"/>
  <c r="E46" s="1"/>
  <c r="E55"/>
  <c r="E53" s="1"/>
  <c r="E56"/>
  <c r="E58"/>
  <c r="F58"/>
  <c r="F56"/>
  <c r="F43"/>
  <c r="F16"/>
  <c r="G43" l="1"/>
  <c r="E12"/>
  <c r="F37"/>
  <c r="F36" s="1"/>
  <c r="G14"/>
  <c r="G55"/>
  <c r="M12" i="1"/>
  <c r="Q68" i="10"/>
  <c r="E98" i="1"/>
  <c r="G19" i="2"/>
  <c r="Q12" i="1"/>
  <c r="F53" i="2"/>
  <c r="F12"/>
  <c r="G12" s="1"/>
  <c r="F46"/>
  <c r="G51"/>
  <c r="G21"/>
  <c r="D46"/>
  <c r="M8" i="1"/>
  <c r="G30" i="2"/>
  <c r="G26"/>
  <c r="Q67" i="10"/>
  <c r="L67" i="1"/>
  <c r="E18" i="2"/>
  <c r="F18"/>
  <c r="E43"/>
  <c r="E7"/>
  <c r="F7" l="1"/>
  <c r="G46"/>
  <c r="F41"/>
  <c r="E6"/>
  <c r="F6"/>
  <c r="P164" i="10" l="1"/>
  <c r="G164"/>
  <c r="P162"/>
  <c r="G162"/>
  <c r="P158"/>
  <c r="G158"/>
  <c r="P156"/>
  <c r="P154"/>
  <c r="G154"/>
  <c r="P149"/>
  <c r="G149"/>
  <c r="P147"/>
  <c r="G147"/>
  <c r="P145"/>
  <c r="P144" s="1"/>
  <c r="G145"/>
  <c r="P143"/>
  <c r="G143"/>
  <c r="P141"/>
  <c r="G141"/>
  <c r="P139"/>
  <c r="P136"/>
  <c r="G134"/>
  <c r="P134"/>
  <c r="P128"/>
  <c r="P129"/>
  <c r="P130"/>
  <c r="P131"/>
  <c r="P132"/>
  <c r="P127"/>
  <c r="P126"/>
  <c r="G132"/>
  <c r="G131"/>
  <c r="G130"/>
  <c r="G129"/>
  <c r="G127"/>
  <c r="G128"/>
  <c r="G126"/>
  <c r="P122"/>
  <c r="P120"/>
  <c r="G122"/>
  <c r="G120"/>
  <c r="H115"/>
  <c r="I115"/>
  <c r="J115"/>
  <c r="K115"/>
  <c r="L115"/>
  <c r="M115"/>
  <c r="N115"/>
  <c r="O115"/>
  <c r="P118"/>
  <c r="G118"/>
  <c r="P104"/>
  <c r="P102"/>
  <c r="P106"/>
  <c r="G106"/>
  <c r="G104"/>
  <c r="G102"/>
  <c r="G100"/>
  <c r="P95"/>
  <c r="P92"/>
  <c r="G95"/>
  <c r="G92"/>
  <c r="P86"/>
  <c r="P84"/>
  <c r="P83"/>
  <c r="G84"/>
  <c r="G83"/>
  <c r="G81"/>
  <c r="G80"/>
  <c r="P81"/>
  <c r="Q81" s="1"/>
  <c r="P80"/>
  <c r="P78"/>
  <c r="G78"/>
  <c r="G77"/>
  <c r="P70"/>
  <c r="G70"/>
  <c r="G64"/>
  <c r="P66"/>
  <c r="P64"/>
  <c r="P55"/>
  <c r="P51"/>
  <c r="P48"/>
  <c r="P47" s="1"/>
  <c r="P46" s="1"/>
  <c r="P45"/>
  <c r="P43"/>
  <c r="G55"/>
  <c r="G48"/>
  <c r="P38"/>
  <c r="G38"/>
  <c r="P35"/>
  <c r="G35"/>
  <c r="P32"/>
  <c r="G32"/>
  <c r="P30"/>
  <c r="G30"/>
  <c r="P25"/>
  <c r="G25"/>
  <c r="P22"/>
  <c r="G22"/>
  <c r="P19"/>
  <c r="G19"/>
  <c r="G18" s="1"/>
  <c r="P17"/>
  <c r="G17"/>
  <c r="P14"/>
  <c r="P13" s="1"/>
  <c r="K58" i="7"/>
  <c r="L58"/>
  <c r="M58"/>
  <c r="N58"/>
  <c r="O58"/>
  <c r="P58"/>
  <c r="Q58"/>
  <c r="J58"/>
  <c r="J54"/>
  <c r="Q49"/>
  <c r="J49"/>
  <c r="J48"/>
  <c r="J43"/>
  <c r="J42"/>
  <c r="K35"/>
  <c r="L35"/>
  <c r="M35"/>
  <c r="N35"/>
  <c r="O35"/>
  <c r="P35"/>
  <c r="R44"/>
  <c r="Q35"/>
  <c r="J40"/>
  <c r="J29"/>
  <c r="K26"/>
  <c r="K20" s="1"/>
  <c r="L26"/>
  <c r="L20" s="1"/>
  <c r="M26"/>
  <c r="M20" s="1"/>
  <c r="N26"/>
  <c r="N20" s="1"/>
  <c r="O26"/>
  <c r="P26"/>
  <c r="P20" s="1"/>
  <c r="Q26"/>
  <c r="M17" i="1"/>
  <c r="L100"/>
  <c r="F98"/>
  <c r="G98"/>
  <c r="H98"/>
  <c r="I98"/>
  <c r="P87" i="10"/>
  <c r="G87"/>
  <c r="E162" i="1"/>
  <c r="G86" i="10" s="1"/>
  <c r="Q86" s="1"/>
  <c r="P77"/>
  <c r="Q77" s="1"/>
  <c r="K149" i="1"/>
  <c r="P166" i="10" s="1"/>
  <c r="E149" i="1"/>
  <c r="G166" i="10" s="1"/>
  <c r="G165" s="1"/>
  <c r="P160"/>
  <c r="K144" i="1"/>
  <c r="E143"/>
  <c r="G160" i="10" s="1"/>
  <c r="G159" s="1"/>
  <c r="L139" i="1"/>
  <c r="P152" i="10"/>
  <c r="Q152" s="1"/>
  <c r="G152"/>
  <c r="P151"/>
  <c r="G151"/>
  <c r="G150" s="1"/>
  <c r="P138"/>
  <c r="E121" i="1"/>
  <c r="G138" i="10" s="1"/>
  <c r="P117"/>
  <c r="Q117" s="1"/>
  <c r="G117"/>
  <c r="K98" i="1"/>
  <c r="G116" i="10"/>
  <c r="G115" s="1"/>
  <c r="P113"/>
  <c r="P112" s="1"/>
  <c r="G113"/>
  <c r="G112" s="1"/>
  <c r="G111"/>
  <c r="G110" s="1"/>
  <c r="G109" s="1"/>
  <c r="P100"/>
  <c r="Q100" s="1"/>
  <c r="K80" i="1"/>
  <c r="P97" i="10" s="1"/>
  <c r="E80" i="1"/>
  <c r="G97" i="10" s="1"/>
  <c r="G96" s="1"/>
  <c r="P75"/>
  <c r="G75"/>
  <c r="M20" i="1"/>
  <c r="G62" i="10"/>
  <c r="P59"/>
  <c r="E59" i="1"/>
  <c r="G59" i="10" s="1"/>
  <c r="P57"/>
  <c r="G57"/>
  <c r="K53" i="1"/>
  <c r="P53" i="10" s="1"/>
  <c r="Q53" s="1"/>
  <c r="G53"/>
  <c r="G38" i="6"/>
  <c r="G18"/>
  <c r="G16"/>
  <c r="G9"/>
  <c r="G29"/>
  <c r="G34"/>
  <c r="G36"/>
  <c r="G40"/>
  <c r="I26"/>
  <c r="E26"/>
  <c r="F26"/>
  <c r="I24"/>
  <c r="I25"/>
  <c r="Q164" i="10"/>
  <c r="Q162"/>
  <c r="Q158"/>
  <c r="Q154"/>
  <c r="Q149"/>
  <c r="Q147"/>
  <c r="Q145"/>
  <c r="Q141"/>
  <c r="Q134"/>
  <c r="Q129"/>
  <c r="Q130"/>
  <c r="Q131"/>
  <c r="Q132"/>
  <c r="Q127"/>
  <c r="Q126"/>
  <c r="Q122"/>
  <c r="Q120"/>
  <c r="Q106"/>
  <c r="Q104"/>
  <c r="Q102"/>
  <c r="Q95"/>
  <c r="Q92"/>
  <c r="Q83"/>
  <c r="Q80"/>
  <c r="Q70"/>
  <c r="Q64"/>
  <c r="Q55"/>
  <c r="Q48"/>
  <c r="Q38"/>
  <c r="Q35"/>
  <c r="Q30"/>
  <c r="Q25"/>
  <c r="Q19"/>
  <c r="Q17"/>
  <c r="R10" i="7"/>
  <c r="R11"/>
  <c r="R16"/>
  <c r="R17"/>
  <c r="R18"/>
  <c r="R19"/>
  <c r="R23"/>
  <c r="R25"/>
  <c r="R26"/>
  <c r="R27"/>
  <c r="R29"/>
  <c r="R33"/>
  <c r="R36"/>
  <c r="R37"/>
  <c r="R38"/>
  <c r="R39"/>
  <c r="R40"/>
  <c r="R46"/>
  <c r="R47"/>
  <c r="R48"/>
  <c r="R49"/>
  <c r="R50"/>
  <c r="R52"/>
  <c r="R53"/>
  <c r="R54"/>
  <c r="R55"/>
  <c r="R56"/>
  <c r="R57"/>
  <c r="S8"/>
  <c r="L174" i="1"/>
  <c r="L171"/>
  <c r="L166"/>
  <c r="L165"/>
  <c r="L163"/>
  <c r="L162"/>
  <c r="L160"/>
  <c r="L159"/>
  <c r="L157"/>
  <c r="L156"/>
  <c r="L149"/>
  <c r="L147"/>
  <c r="L145"/>
  <c r="L143"/>
  <c r="L137"/>
  <c r="L135"/>
  <c r="L134"/>
  <c r="L132"/>
  <c r="L130"/>
  <c r="L128"/>
  <c r="L126"/>
  <c r="L124"/>
  <c r="L121"/>
  <c r="L117"/>
  <c r="L115"/>
  <c r="L114"/>
  <c r="L113"/>
  <c r="L112"/>
  <c r="L111"/>
  <c r="L110"/>
  <c r="L109"/>
  <c r="L105"/>
  <c r="L103"/>
  <c r="L101"/>
  <c r="L99"/>
  <c r="L96"/>
  <c r="L89"/>
  <c r="L87"/>
  <c r="L85"/>
  <c r="L82"/>
  <c r="L80"/>
  <c r="L75"/>
  <c r="L70"/>
  <c r="L64"/>
  <c r="L62"/>
  <c r="L59"/>
  <c r="L57"/>
  <c r="L55"/>
  <c r="L53"/>
  <c r="L48"/>
  <c r="L38"/>
  <c r="L35"/>
  <c r="L32"/>
  <c r="L30"/>
  <c r="L25"/>
  <c r="L22"/>
  <c r="L19"/>
  <c r="L17"/>
  <c r="I10" i="6"/>
  <c r="I11"/>
  <c r="I14"/>
  <c r="I15"/>
  <c r="I17"/>
  <c r="I19"/>
  <c r="I20"/>
  <c r="I21"/>
  <c r="I23"/>
  <c r="I27"/>
  <c r="I28"/>
  <c r="I30"/>
  <c r="I31"/>
  <c r="I32"/>
  <c r="I35"/>
  <c r="I37"/>
  <c r="I39"/>
  <c r="I41"/>
  <c r="I42"/>
  <c r="H9"/>
  <c r="H16"/>
  <c r="H18"/>
  <c r="H22"/>
  <c r="H29"/>
  <c r="H34"/>
  <c r="H36"/>
  <c r="H38"/>
  <c r="H40"/>
  <c r="E14" i="4"/>
  <c r="E16"/>
  <c r="E17"/>
  <c r="E18"/>
  <c r="E20"/>
  <c r="E19"/>
  <c r="E15"/>
  <c r="D9" i="2"/>
  <c r="D59"/>
  <c r="D58" s="1"/>
  <c r="D57"/>
  <c r="D56" s="1"/>
  <c r="D53"/>
  <c r="G53" s="1"/>
  <c r="D50"/>
  <c r="G50" s="1"/>
  <c r="D37"/>
  <c r="D16"/>
  <c r="D10"/>
  <c r="G10" s="1"/>
  <c r="F166" i="10"/>
  <c r="F165" s="1"/>
  <c r="E165"/>
  <c r="F164"/>
  <c r="F163" s="1"/>
  <c r="P163"/>
  <c r="G163"/>
  <c r="E163"/>
  <c r="F162"/>
  <c r="F161" s="1"/>
  <c r="P161"/>
  <c r="G161"/>
  <c r="E161"/>
  <c r="F160"/>
  <c r="F159" s="1"/>
  <c r="E159"/>
  <c r="F158"/>
  <c r="F157" s="1"/>
  <c r="P157"/>
  <c r="G157"/>
  <c r="E157"/>
  <c r="F156"/>
  <c r="P155"/>
  <c r="F155"/>
  <c r="E155"/>
  <c r="F154"/>
  <c r="F153" s="1"/>
  <c r="P153"/>
  <c r="G153"/>
  <c r="Q153" s="1"/>
  <c r="E153"/>
  <c r="F152"/>
  <c r="F151"/>
  <c r="F150"/>
  <c r="E150"/>
  <c r="F149"/>
  <c r="F148" s="1"/>
  <c r="P148"/>
  <c r="G148"/>
  <c r="E148"/>
  <c r="F147"/>
  <c r="F146" s="1"/>
  <c r="P146"/>
  <c r="G146"/>
  <c r="E146"/>
  <c r="F145"/>
  <c r="F144" s="1"/>
  <c r="G144"/>
  <c r="E144"/>
  <c r="F143"/>
  <c r="P142"/>
  <c r="G142"/>
  <c r="F142"/>
  <c r="E142"/>
  <c r="F141"/>
  <c r="F140" s="1"/>
  <c r="P140"/>
  <c r="G140"/>
  <c r="E140"/>
  <c r="F139"/>
  <c r="F138"/>
  <c r="F137"/>
  <c r="E137"/>
  <c r="F136"/>
  <c r="F135" s="1"/>
  <c r="P135"/>
  <c r="E135"/>
  <c r="F134"/>
  <c r="F133" s="1"/>
  <c r="P133"/>
  <c r="G133"/>
  <c r="E133"/>
  <c r="F132"/>
  <c r="F131"/>
  <c r="F130"/>
  <c r="F129"/>
  <c r="F128"/>
  <c r="F127"/>
  <c r="F125" s="1"/>
  <c r="F126"/>
  <c r="G125"/>
  <c r="E125"/>
  <c r="F122"/>
  <c r="F121" s="1"/>
  <c r="P121"/>
  <c r="G121"/>
  <c r="E121"/>
  <c r="F120"/>
  <c r="F119" s="1"/>
  <c r="P119"/>
  <c r="G119"/>
  <c r="E119"/>
  <c r="F117"/>
  <c r="F116"/>
  <c r="E115"/>
  <c r="E114" s="1"/>
  <c r="F113"/>
  <c r="F112" s="1"/>
  <c r="E112"/>
  <c r="F111"/>
  <c r="F110" s="1"/>
  <c r="E110"/>
  <c r="E109" s="1"/>
  <c r="E108" s="1"/>
  <c r="F106"/>
  <c r="F105" s="1"/>
  <c r="P105"/>
  <c r="G105"/>
  <c r="F104"/>
  <c r="F103" s="1"/>
  <c r="P103"/>
  <c r="G103"/>
  <c r="E103"/>
  <c r="F102"/>
  <c r="F101" s="1"/>
  <c r="P101"/>
  <c r="G101"/>
  <c r="E101"/>
  <c r="F100"/>
  <c r="F99" s="1"/>
  <c r="P99"/>
  <c r="G99"/>
  <c r="E99"/>
  <c r="F97"/>
  <c r="F96" s="1"/>
  <c r="P96"/>
  <c r="E96"/>
  <c r="F95"/>
  <c r="F94" s="1"/>
  <c r="P94"/>
  <c r="G94"/>
  <c r="E94"/>
  <c r="F92"/>
  <c r="F91" s="1"/>
  <c r="F90" s="1"/>
  <c r="P91"/>
  <c r="P90" s="1"/>
  <c r="G91"/>
  <c r="E91"/>
  <c r="G90"/>
  <c r="E90"/>
  <c r="F87"/>
  <c r="F86"/>
  <c r="P85"/>
  <c r="G85"/>
  <c r="E85"/>
  <c r="P82"/>
  <c r="E82"/>
  <c r="F81"/>
  <c r="F80"/>
  <c r="G79"/>
  <c r="E79"/>
  <c r="F78"/>
  <c r="F77"/>
  <c r="G76"/>
  <c r="E76"/>
  <c r="F75"/>
  <c r="F74" s="1"/>
  <c r="P74"/>
  <c r="G74"/>
  <c r="E74"/>
  <c r="E73" s="1"/>
  <c r="E71" s="1"/>
  <c r="F70"/>
  <c r="F69" s="1"/>
  <c r="P69"/>
  <c r="G69"/>
  <c r="E69"/>
  <c r="F66"/>
  <c r="F65" s="1"/>
  <c r="P65"/>
  <c r="E65"/>
  <c r="F64"/>
  <c r="F63" s="1"/>
  <c r="P63"/>
  <c r="G63"/>
  <c r="E63"/>
  <c r="F62"/>
  <c r="F61" s="1"/>
  <c r="G61"/>
  <c r="E61"/>
  <c r="F59"/>
  <c r="F58" s="1"/>
  <c r="P58"/>
  <c r="G58"/>
  <c r="N57"/>
  <c r="F57"/>
  <c r="F56" s="1"/>
  <c r="E56"/>
  <c r="F55"/>
  <c r="F54" s="1"/>
  <c r="P54"/>
  <c r="G54"/>
  <c r="E54"/>
  <c r="F53"/>
  <c r="F52" s="1"/>
  <c r="P52"/>
  <c r="G52"/>
  <c r="E52"/>
  <c r="F51"/>
  <c r="F50" s="1"/>
  <c r="P50"/>
  <c r="E50"/>
  <c r="F48"/>
  <c r="G47"/>
  <c r="G46" s="1"/>
  <c r="F47"/>
  <c r="E47"/>
  <c r="E46" s="1"/>
  <c r="F46"/>
  <c r="F45"/>
  <c r="P44"/>
  <c r="F44"/>
  <c r="E44"/>
  <c r="F43"/>
  <c r="P42"/>
  <c r="F42"/>
  <c r="F41" s="1"/>
  <c r="E42"/>
  <c r="F38"/>
  <c r="F37" s="1"/>
  <c r="F36" s="1"/>
  <c r="P37"/>
  <c r="P36" s="1"/>
  <c r="G37"/>
  <c r="E37"/>
  <c r="E36" s="1"/>
  <c r="F35"/>
  <c r="F34" s="1"/>
  <c r="F33" s="1"/>
  <c r="P34"/>
  <c r="P33" s="1"/>
  <c r="G34"/>
  <c r="E34"/>
  <c r="E33" s="1"/>
  <c r="G33"/>
  <c r="F32"/>
  <c r="F31" s="1"/>
  <c r="G31"/>
  <c r="E31"/>
  <c r="F30"/>
  <c r="F29" s="1"/>
  <c r="P29"/>
  <c r="G29"/>
  <c r="G28" s="1"/>
  <c r="E29"/>
  <c r="E28" s="1"/>
  <c r="F25"/>
  <c r="F24" s="1"/>
  <c r="F23" s="1"/>
  <c r="P24"/>
  <c r="P23" s="1"/>
  <c r="G24"/>
  <c r="E24"/>
  <c r="G23"/>
  <c r="E23"/>
  <c r="F22"/>
  <c r="F21" s="1"/>
  <c r="F20" s="1"/>
  <c r="P21"/>
  <c r="P20" s="1"/>
  <c r="G21"/>
  <c r="G20" s="1"/>
  <c r="E21"/>
  <c r="E20" s="1"/>
  <c r="F19"/>
  <c r="F18" s="1"/>
  <c r="P18"/>
  <c r="E18"/>
  <c r="F17"/>
  <c r="P16"/>
  <c r="G16"/>
  <c r="E16"/>
  <c r="F16" s="1"/>
  <c r="F14"/>
  <c r="F13" s="1"/>
  <c r="F12" s="1"/>
  <c r="E13"/>
  <c r="E12" s="1"/>
  <c r="S59" i="7" l="1"/>
  <c r="Q20"/>
  <c r="Q78" i="10"/>
  <c r="Q143"/>
  <c r="D8" i="2"/>
  <c r="G9"/>
  <c r="E60" i="10"/>
  <c r="F76"/>
  <c r="F79"/>
  <c r="D36" i="2"/>
  <c r="G36" s="1"/>
  <c r="G37"/>
  <c r="P93" i="10"/>
  <c r="E49"/>
  <c r="Q52"/>
  <c r="G98"/>
  <c r="F98"/>
  <c r="F115"/>
  <c r="E41"/>
  <c r="E39" s="1"/>
  <c r="F85"/>
  <c r="E93"/>
  <c r="E88" s="1"/>
  <c r="E98"/>
  <c r="Q59"/>
  <c r="E124"/>
  <c r="E123" s="1"/>
  <c r="E107" s="1"/>
  <c r="Q161"/>
  <c r="Q84"/>
  <c r="Q128"/>
  <c r="P125"/>
  <c r="P79"/>
  <c r="P76"/>
  <c r="Q118"/>
  <c r="G93"/>
  <c r="G88" s="1"/>
  <c r="G114"/>
  <c r="G108" s="1"/>
  <c r="Q32"/>
  <c r="Q75"/>
  <c r="Q97"/>
  <c r="Q113"/>
  <c r="Q22"/>
  <c r="P15"/>
  <c r="E26"/>
  <c r="E15"/>
  <c r="E10" s="1"/>
  <c r="F28"/>
  <c r="F26" s="1"/>
  <c r="F60"/>
  <c r="F73"/>
  <c r="F71" s="1"/>
  <c r="F15"/>
  <c r="F10" s="1"/>
  <c r="P56"/>
  <c r="Q57"/>
  <c r="Q138"/>
  <c r="P137"/>
  <c r="Q151"/>
  <c r="P150"/>
  <c r="P159"/>
  <c r="Q159" s="1"/>
  <c r="Q160"/>
  <c r="Q166"/>
  <c r="P165"/>
  <c r="Q165" s="1"/>
  <c r="Q87"/>
  <c r="F124"/>
  <c r="F123" s="1"/>
  <c r="G22" i="6"/>
  <c r="M30" i="1"/>
  <c r="R28" i="7"/>
  <c r="P62" i="10"/>
  <c r="P111"/>
  <c r="P116"/>
  <c r="Q116" s="1"/>
  <c r="G156"/>
  <c r="F93"/>
  <c r="F88" s="1"/>
  <c r="P98"/>
  <c r="P88" s="1"/>
  <c r="F109"/>
  <c r="F114"/>
  <c r="Q163"/>
  <c r="L169"/>
  <c r="D34" i="2"/>
  <c r="G34" s="1"/>
  <c r="Q157" i="10"/>
  <c r="Q150"/>
  <c r="Q148"/>
  <c r="Q146"/>
  <c r="Q144"/>
  <c r="Q142"/>
  <c r="Q140"/>
  <c r="Q133"/>
  <c r="Q125"/>
  <c r="Q121"/>
  <c r="Q119"/>
  <c r="P115"/>
  <c r="Q115" s="1"/>
  <c r="Q112"/>
  <c r="Q23"/>
  <c r="Q46"/>
  <c r="Q47"/>
  <c r="Q54"/>
  <c r="Q94"/>
  <c r="Q96"/>
  <c r="Q101"/>
  <c r="Q103"/>
  <c r="Q99"/>
  <c r="Q105"/>
  <c r="Q93"/>
  <c r="Q90"/>
  <c r="Q91"/>
  <c r="Q85"/>
  <c r="G82"/>
  <c r="Q82" s="1"/>
  <c r="Q79"/>
  <c r="Q76"/>
  <c r="Q74"/>
  <c r="G73"/>
  <c r="Q69"/>
  <c r="Q63"/>
  <c r="Q58"/>
  <c r="P49"/>
  <c r="P41"/>
  <c r="Q37"/>
  <c r="G36"/>
  <c r="Q36" s="1"/>
  <c r="Q33"/>
  <c r="Q34"/>
  <c r="P31"/>
  <c r="P28" s="1"/>
  <c r="P26" s="1"/>
  <c r="Q29"/>
  <c r="Q24"/>
  <c r="Q20"/>
  <c r="Q21"/>
  <c r="Q18"/>
  <c r="Q16"/>
  <c r="G15"/>
  <c r="P12"/>
  <c r="L94" i="1"/>
  <c r="H43" i="6"/>
  <c r="D7" i="2"/>
  <c r="G7" s="1"/>
  <c r="G56" i="10"/>
  <c r="F49"/>
  <c r="F39" s="1"/>
  <c r="F9" s="1"/>
  <c r="F8" s="1"/>
  <c r="Q15" l="1"/>
  <c r="G8" i="2"/>
  <c r="P73" i="10"/>
  <c r="P71" s="1"/>
  <c r="G42" i="2"/>
  <c r="F108" i="10"/>
  <c r="F107" s="1"/>
  <c r="F167" s="1"/>
  <c r="Q88"/>
  <c r="E9"/>
  <c r="E8" s="1"/>
  <c r="E167" s="1"/>
  <c r="Q98"/>
  <c r="G26"/>
  <c r="P114"/>
  <c r="G155"/>
  <c r="Q155" s="1"/>
  <c r="Q156"/>
  <c r="Q111"/>
  <c r="P110"/>
  <c r="Q62"/>
  <c r="P61"/>
  <c r="P60" s="1"/>
  <c r="P124"/>
  <c r="P123" s="1"/>
  <c r="Q114"/>
  <c r="Q73"/>
  <c r="G71"/>
  <c r="Q71" s="1"/>
  <c r="Q56"/>
  <c r="Q26"/>
  <c r="Q28"/>
  <c r="Q31"/>
  <c r="P10"/>
  <c r="S45" i="7"/>
  <c r="S20"/>
  <c r="S15"/>
  <c r="Q45"/>
  <c r="Q15"/>
  <c r="Q8"/>
  <c r="C14" i="3"/>
  <c r="M10" i="1"/>
  <c r="E81"/>
  <c r="F81"/>
  <c r="G81"/>
  <c r="H81"/>
  <c r="I81"/>
  <c r="J81"/>
  <c r="K81"/>
  <c r="L81" s="1"/>
  <c r="M7"/>
  <c r="M29"/>
  <c r="M28"/>
  <c r="M27"/>
  <c r="M26"/>
  <c r="M14"/>
  <c r="M25"/>
  <c r="M24"/>
  <c r="M23"/>
  <c r="M22"/>
  <c r="M21"/>
  <c r="M19"/>
  <c r="M18"/>
  <c r="M16"/>
  <c r="M15"/>
  <c r="M13"/>
  <c r="M11"/>
  <c r="M59" i="7"/>
  <c r="K13" i="1"/>
  <c r="K12" s="1"/>
  <c r="K173"/>
  <c r="K170"/>
  <c r="K164"/>
  <c r="K161"/>
  <c r="K158"/>
  <c r="K155"/>
  <c r="K148"/>
  <c r="K146"/>
  <c r="K142"/>
  <c r="K140"/>
  <c r="K138"/>
  <c r="K136"/>
  <c r="K133"/>
  <c r="K131"/>
  <c r="K129"/>
  <c r="K127"/>
  <c r="K125"/>
  <c r="K123"/>
  <c r="K120"/>
  <c r="K118"/>
  <c r="K116"/>
  <c r="K108"/>
  <c r="K104"/>
  <c r="K102"/>
  <c r="K95"/>
  <c r="K93"/>
  <c r="K88"/>
  <c r="K86"/>
  <c r="K84"/>
  <c r="K79"/>
  <c r="K74"/>
  <c r="K73" s="1"/>
  <c r="K71" s="1"/>
  <c r="K69"/>
  <c r="K65"/>
  <c r="K63"/>
  <c r="K61"/>
  <c r="K60" s="1"/>
  <c r="K58"/>
  <c r="K56"/>
  <c r="K54"/>
  <c r="K52"/>
  <c r="K50"/>
  <c r="K47"/>
  <c r="K44"/>
  <c r="K42"/>
  <c r="K37"/>
  <c r="K34"/>
  <c r="K31"/>
  <c r="K29"/>
  <c r="K24"/>
  <c r="K21"/>
  <c r="K18"/>
  <c r="K16"/>
  <c r="E42" i="6"/>
  <c r="E41"/>
  <c r="E40" s="1"/>
  <c r="F40"/>
  <c r="D40"/>
  <c r="E39"/>
  <c r="E38" s="1"/>
  <c r="F38"/>
  <c r="D38"/>
  <c r="I38" s="1"/>
  <c r="F36"/>
  <c r="D36"/>
  <c r="E35"/>
  <c r="E34" s="1"/>
  <c r="F34"/>
  <c r="D34"/>
  <c r="I34" s="1"/>
  <c r="E33"/>
  <c r="E32"/>
  <c r="E31"/>
  <c r="E30"/>
  <c r="E29" s="1"/>
  <c r="F29"/>
  <c r="D29"/>
  <c r="I29" s="1"/>
  <c r="E28"/>
  <c r="E27"/>
  <c r="E25"/>
  <c r="E24"/>
  <c r="E23"/>
  <c r="E22" s="1"/>
  <c r="F22"/>
  <c r="D22"/>
  <c r="E21"/>
  <c r="E20"/>
  <c r="E19"/>
  <c r="E18" s="1"/>
  <c r="F18"/>
  <c r="D18"/>
  <c r="I18" s="1"/>
  <c r="E17"/>
  <c r="E16" s="1"/>
  <c r="F16"/>
  <c r="D16"/>
  <c r="E15"/>
  <c r="E14"/>
  <c r="E13"/>
  <c r="E12"/>
  <c r="H44"/>
  <c r="E10"/>
  <c r="E9" s="1"/>
  <c r="F9"/>
  <c r="D9"/>
  <c r="I9" s="1"/>
  <c r="C58" i="2"/>
  <c r="C56"/>
  <c r="C53"/>
  <c r="C50"/>
  <c r="C46"/>
  <c r="C43"/>
  <c r="C37"/>
  <c r="C36" s="1"/>
  <c r="C34"/>
  <c r="C30"/>
  <c r="C26"/>
  <c r="C25" s="1"/>
  <c r="C19"/>
  <c r="C16"/>
  <c r="C12"/>
  <c r="C10"/>
  <c r="C8"/>
  <c r="G41" l="1"/>
  <c r="I41"/>
  <c r="K107" i="1"/>
  <c r="C42" i="2"/>
  <c r="C41" s="1"/>
  <c r="C60" s="1"/>
  <c r="C6"/>
  <c r="D43" i="6"/>
  <c r="F43"/>
  <c r="K78" i="1"/>
  <c r="M31"/>
  <c r="Q61" i="10"/>
  <c r="P109"/>
  <c r="Q109" s="1"/>
  <c r="Q110"/>
  <c r="P108"/>
  <c r="C18" i="2"/>
  <c r="Q59" i="7"/>
  <c r="K172" i="1"/>
  <c r="K169"/>
  <c r="K46"/>
  <c r="K36"/>
  <c r="K33"/>
  <c r="K23"/>
  <c r="K20"/>
  <c r="I40" i="6"/>
  <c r="I36"/>
  <c r="I22"/>
  <c r="I16"/>
  <c r="C7" i="2"/>
  <c r="E37" i="6"/>
  <c r="E36" s="1"/>
  <c r="E43" s="1"/>
  <c r="E11"/>
  <c r="K167" i="1"/>
  <c r="K154"/>
  <c r="K97"/>
  <c r="K92"/>
  <c r="K83"/>
  <c r="K49"/>
  <c r="K41"/>
  <c r="K28"/>
  <c r="K15"/>
  <c r="K10" s="1"/>
  <c r="G43" i="6"/>
  <c r="F14" i="3"/>
  <c r="E14"/>
  <c r="D14"/>
  <c r="P59" i="7"/>
  <c r="N59"/>
  <c r="L59"/>
  <c r="K59"/>
  <c r="R58"/>
  <c r="R51"/>
  <c r="R43"/>
  <c r="R42"/>
  <c r="J41"/>
  <c r="O31"/>
  <c r="J30"/>
  <c r="R30" s="1"/>
  <c r="O28"/>
  <c r="O20" s="1"/>
  <c r="R24"/>
  <c r="J22"/>
  <c r="J15"/>
  <c r="R15" s="1"/>
  <c r="J9"/>
  <c r="E173" i="1"/>
  <c r="L173" s="1"/>
  <c r="E170"/>
  <c r="L170" s="1"/>
  <c r="E164"/>
  <c r="L164" s="1"/>
  <c r="E161"/>
  <c r="L161" s="1"/>
  <c r="E158"/>
  <c r="L158" s="1"/>
  <c r="E155"/>
  <c r="L155" s="1"/>
  <c r="E148"/>
  <c r="L148" s="1"/>
  <c r="E146"/>
  <c r="L146" s="1"/>
  <c r="E144"/>
  <c r="L144" s="1"/>
  <c r="E142"/>
  <c r="L142" s="1"/>
  <c r="E140"/>
  <c r="L140" s="1"/>
  <c r="E138"/>
  <c r="L138" s="1"/>
  <c r="E136"/>
  <c r="L136" s="1"/>
  <c r="E133"/>
  <c r="L133" s="1"/>
  <c r="E131"/>
  <c r="L131" s="1"/>
  <c r="E129"/>
  <c r="L129" s="1"/>
  <c r="E127"/>
  <c r="L127" s="1"/>
  <c r="E125"/>
  <c r="L125" s="1"/>
  <c r="E123"/>
  <c r="L123" s="1"/>
  <c r="E122"/>
  <c r="E119"/>
  <c r="G136" i="10" s="1"/>
  <c r="E116" i="1"/>
  <c r="L116" s="1"/>
  <c r="E108"/>
  <c r="L108" s="1"/>
  <c r="E104"/>
  <c r="L104" s="1"/>
  <c r="E102"/>
  <c r="L102" s="1"/>
  <c r="J101"/>
  <c r="J99"/>
  <c r="E95"/>
  <c r="L95" s="1"/>
  <c r="E93"/>
  <c r="E88"/>
  <c r="L88" s="1"/>
  <c r="E86"/>
  <c r="L86" s="1"/>
  <c r="E84"/>
  <c r="L84" s="1"/>
  <c r="E79"/>
  <c r="E74"/>
  <c r="J70"/>
  <c r="E69"/>
  <c r="L69" s="1"/>
  <c r="J66"/>
  <c r="G66" i="10" s="1"/>
  <c r="E63" i="1"/>
  <c r="L63" s="1"/>
  <c r="E61"/>
  <c r="J59"/>
  <c r="E58" s="1"/>
  <c r="L58" s="1"/>
  <c r="J57"/>
  <c r="E54"/>
  <c r="L54" s="1"/>
  <c r="E52"/>
  <c r="L52" s="1"/>
  <c r="G51" i="10"/>
  <c r="E47" i="1"/>
  <c r="E46" s="1"/>
  <c r="E45"/>
  <c r="G45" i="10" s="1"/>
  <c r="E43" i="1"/>
  <c r="G43" i="10" s="1"/>
  <c r="E37" i="1"/>
  <c r="L37" s="1"/>
  <c r="E34"/>
  <c r="L34" s="1"/>
  <c r="E31"/>
  <c r="L31" s="1"/>
  <c r="E29"/>
  <c r="E24"/>
  <c r="L24" s="1"/>
  <c r="E21"/>
  <c r="L21" s="1"/>
  <c r="E18"/>
  <c r="L18" s="1"/>
  <c r="E16"/>
  <c r="E14"/>
  <c r="G14" i="10" s="1"/>
  <c r="J20" i="7" l="1"/>
  <c r="L61" i="1"/>
  <c r="L93"/>
  <c r="E92"/>
  <c r="L92" s="1"/>
  <c r="R22" i="7"/>
  <c r="R20"/>
  <c r="O59"/>
  <c r="Q51" i="10"/>
  <c r="G50"/>
  <c r="G139"/>
  <c r="L122" i="1"/>
  <c r="R41" i="7"/>
  <c r="J35"/>
  <c r="P39" i="10"/>
  <c r="P9" s="1"/>
  <c r="G13"/>
  <c r="J9"/>
  <c r="J169" s="1"/>
  <c r="Q14"/>
  <c r="Q45"/>
  <c r="G44"/>
  <c r="Q44" s="1"/>
  <c r="E20" i="1"/>
  <c r="L20" s="1"/>
  <c r="E23"/>
  <c r="E28"/>
  <c r="L28" s="1"/>
  <c r="E33"/>
  <c r="E36"/>
  <c r="L36" s="1"/>
  <c r="Q43" i="10"/>
  <c r="Q42" s="1"/>
  <c r="G42"/>
  <c r="G41" s="1"/>
  <c r="Q66"/>
  <c r="G65"/>
  <c r="G60" s="1"/>
  <c r="J98" i="1"/>
  <c r="Q136" i="10"/>
  <c r="G135"/>
  <c r="P107"/>
  <c r="Q108"/>
  <c r="P8"/>
  <c r="J8" i="7"/>
  <c r="R9"/>
  <c r="R35"/>
  <c r="J45"/>
  <c r="R45" s="1"/>
  <c r="R31"/>
  <c r="R8"/>
  <c r="E172" i="1"/>
  <c r="E169"/>
  <c r="E65"/>
  <c r="L65" s="1"/>
  <c r="L66"/>
  <c r="E118"/>
  <c r="L118" s="1"/>
  <c r="L119"/>
  <c r="L23"/>
  <c r="L47"/>
  <c r="E42"/>
  <c r="L42" s="1"/>
  <c r="L43"/>
  <c r="E13"/>
  <c r="L14"/>
  <c r="E44"/>
  <c r="L44" s="1"/>
  <c r="L45"/>
  <c r="E50"/>
  <c r="L50" s="1"/>
  <c r="L51"/>
  <c r="L33"/>
  <c r="L46"/>
  <c r="L169"/>
  <c r="L172"/>
  <c r="L29"/>
  <c r="K152"/>
  <c r="K150" s="1"/>
  <c r="K106"/>
  <c r="E97"/>
  <c r="L97" s="1"/>
  <c r="L98"/>
  <c r="K76"/>
  <c r="E78"/>
  <c r="L78" s="1"/>
  <c r="L79"/>
  <c r="E73"/>
  <c r="L74"/>
  <c r="K26"/>
  <c r="E15"/>
  <c r="L15" s="1"/>
  <c r="L16"/>
  <c r="I43" i="6"/>
  <c r="K91" i="1"/>
  <c r="K39"/>
  <c r="E154"/>
  <c r="E152" s="1"/>
  <c r="E21" i="4"/>
  <c r="E83" i="1"/>
  <c r="E120"/>
  <c r="E56"/>
  <c r="E41" l="1"/>
  <c r="L41" s="1"/>
  <c r="E60"/>
  <c r="L60" s="1"/>
  <c r="Q135" i="10"/>
  <c r="Q41"/>
  <c r="E26" i="1"/>
  <c r="L26" s="1"/>
  <c r="Q50" i="10"/>
  <c r="G49"/>
  <c r="Q49" s="1"/>
  <c r="E167" i="1"/>
  <c r="L167" s="1"/>
  <c r="Q60" i="10"/>
  <c r="Q65"/>
  <c r="G12"/>
  <c r="Q13"/>
  <c r="Q139"/>
  <c r="G137"/>
  <c r="Q137" s="1"/>
  <c r="P167"/>
  <c r="J59" i="7"/>
  <c r="R59" s="1"/>
  <c r="E76" i="1"/>
  <c r="L76" s="1"/>
  <c r="E150"/>
  <c r="L150" s="1"/>
  <c r="E12"/>
  <c r="L12" s="1"/>
  <c r="L13"/>
  <c r="E151"/>
  <c r="L154"/>
  <c r="L152"/>
  <c r="K151"/>
  <c r="K90"/>
  <c r="E107"/>
  <c r="L107" s="1"/>
  <c r="L120"/>
  <c r="E91"/>
  <c r="L91" s="1"/>
  <c r="L83"/>
  <c r="E71"/>
  <c r="L71" s="1"/>
  <c r="L73"/>
  <c r="E49"/>
  <c r="L56"/>
  <c r="K9"/>
  <c r="K8" s="1"/>
  <c r="E39" l="1"/>
  <c r="L151"/>
  <c r="G10" i="10"/>
  <c r="Q12"/>
  <c r="G39"/>
  <c r="Q39" s="1"/>
  <c r="G124"/>
  <c r="L49" i="1"/>
  <c r="E10"/>
  <c r="E106"/>
  <c r="L106" s="1"/>
  <c r="E90"/>
  <c r="L90" s="1"/>
  <c r="L39"/>
  <c r="K7"/>
  <c r="K175" s="1"/>
  <c r="K179" s="1"/>
  <c r="D25" i="2"/>
  <c r="I60" s="1"/>
  <c r="E9" i="1" l="1"/>
  <c r="L9" s="1"/>
  <c r="L10"/>
  <c r="D18" i="2"/>
  <c r="G18" s="1"/>
  <c r="G25"/>
  <c r="G9" i="10"/>
  <c r="Q10"/>
  <c r="Q124"/>
  <c r="G123"/>
  <c r="E8" i="1"/>
  <c r="L8" s="1"/>
  <c r="D6" i="2"/>
  <c r="G6" s="1"/>
  <c r="G60"/>
  <c r="E7" i="1" l="1"/>
  <c r="E175" s="1"/>
  <c r="Q123" i="10"/>
  <c r="G107"/>
  <c r="G8"/>
  <c r="Q9"/>
  <c r="E177" i="1" l="1"/>
  <c r="E179"/>
  <c r="Q107" i="10"/>
  <c r="G167"/>
  <c r="G169" s="1"/>
  <c r="L175" i="1"/>
  <c r="L177" s="1"/>
  <c r="L7"/>
  <c r="Q8" i="10"/>
  <c r="Q167" l="1"/>
</calcChain>
</file>

<file path=xl/comments1.xml><?xml version="1.0" encoding="utf-8"?>
<comments xmlns="http://schemas.openxmlformats.org/spreadsheetml/2006/main">
  <authors>
    <author>Автор</author>
  </authors>
  <commentList>
    <comment ref="H37" authorId="0">
      <text>
        <r>
          <rPr>
            <sz val="8"/>
            <color indexed="81"/>
            <rFont val="Tahoma"/>
            <family val="2"/>
            <charset val="204"/>
          </rPr>
          <t>985,6т.р.- Стимулир. субсидии для работников культуры
 15 тр.р - трансп.расходы на день инвалида</t>
        </r>
      </text>
    </comment>
  </commentList>
</comments>
</file>

<file path=xl/sharedStrings.xml><?xml version="1.0" encoding="utf-8"?>
<sst xmlns="http://schemas.openxmlformats.org/spreadsheetml/2006/main" count="1557" uniqueCount="588">
  <si>
    <t xml:space="preserve">Ведомственная  структура  расходов бюджета МО Войсковицкое сельское поселение  на 2015 год </t>
  </si>
  <si>
    <t>Наименование</t>
  </si>
  <si>
    <t>Целевая статья</t>
  </si>
  <si>
    <t>Вид расхода</t>
  </si>
  <si>
    <t>Раздел, подраздел</t>
  </si>
  <si>
    <t>изм_18_03_2015</t>
  </si>
  <si>
    <t>изм_16_06_2015</t>
  </si>
  <si>
    <t>АДМИНИСТРАЦИЯ ВОЙСКОВИЦКОГО СЕЛЬСКОГО ПОСЕЛЕНИЯ</t>
  </si>
  <si>
    <t>ПРОГРАММНАЯ ЧАСТЬ</t>
  </si>
  <si>
    <t xml:space="preserve">Муниципальная программа социально-экономического развития МО Войсковицкое сельское поселение  </t>
  </si>
  <si>
    <t>ПОДПРОГРАММА 1.</t>
  </si>
  <si>
    <t>71.1</t>
  </si>
  <si>
    <t>Стимулирование экономичесой активности на территории МО Войсковицкое сельское поселение</t>
  </si>
  <si>
    <t>Связь и информатика</t>
  </si>
  <si>
    <t/>
  </si>
  <si>
    <t>0410</t>
  </si>
  <si>
    <t>Мероприятия в области информационно-коммуникационных технологий</t>
  </si>
  <si>
    <t>71.1.1516</t>
  </si>
  <si>
    <t>Прочая закупка товаров, работ и услуг для обеспечения государственных (муниципальных) нужд</t>
  </si>
  <si>
    <t>244</t>
  </si>
  <si>
    <t>Другие вопросы в области национальной экономики</t>
  </si>
  <si>
    <t>0412</t>
  </si>
  <si>
    <t>Мероприятия в области строительства, архитектуры и градостроительства</t>
  </si>
  <si>
    <t>71.1.1517</t>
  </si>
  <si>
    <t xml:space="preserve">Прочая закупка товаров, работ и услуг для обеспечения государственных (муниципальных) нужд </t>
  </si>
  <si>
    <t>Мероприятия по землеустройству и землепользованию</t>
  </si>
  <si>
    <t>71.1.1518</t>
  </si>
  <si>
    <t>Общеэкономические вопросы</t>
  </si>
  <si>
    <t>0401</t>
  </si>
  <si>
    <t>Мероприятия по развитию и поддержке малого предпринимательства</t>
  </si>
  <si>
    <t>71.1.1551</t>
  </si>
  <si>
    <t>Сельское хозяйство и рыболовство</t>
  </si>
  <si>
    <t>0405</t>
  </si>
  <si>
    <t>Содействие созданию условий для развития  сельского хозяйства</t>
  </si>
  <si>
    <t>71.1.1552</t>
  </si>
  <si>
    <t>ПОДПРОГРАММА 2.</t>
  </si>
  <si>
    <t>71.2</t>
  </si>
  <si>
    <t>Обеспечение безопасности на территории МО Войсковицкое сельское поселение</t>
  </si>
  <si>
    <t>Защита населения и территорий от чрезвычайных ситуаций природного и техногенного характера,гражданская оборона</t>
  </si>
  <si>
    <t>0309</t>
  </si>
  <si>
    <t>Проведение мероприятий по гражданской обороне</t>
  </si>
  <si>
    <t>71.2.1509</t>
  </si>
  <si>
    <t>Предупреждение и ликвидация последствий чрезвычайных ситуаций и стихийных бедствий природного и техногенного характера</t>
  </si>
  <si>
    <t>71.2.1510</t>
  </si>
  <si>
    <t>Обеспечение пожарной безопасности</t>
  </si>
  <si>
    <t>0310</t>
  </si>
  <si>
    <t>Мероприятия по обеспечению первичных мер пожарной безопасности</t>
  </si>
  <si>
    <t>71.2.1512</t>
  </si>
  <si>
    <t>Другие вопросы в области национальной безопасности и правоохранительной деятельности</t>
  </si>
  <si>
    <t>0314</t>
  </si>
  <si>
    <t>Профилактика терроризма и экстремизма</t>
  </si>
  <si>
    <t>71.2.1569</t>
  </si>
  <si>
    <t>ПОДПРОГРАММА 3.</t>
  </si>
  <si>
    <t>71.3</t>
  </si>
  <si>
    <t>Жилищно - коммунальное хозяйство, содержание автомобильных дорог и благоустройство территории Войсковицкого сельского поселения Гатчинского муниципального района</t>
  </si>
  <si>
    <t>Жилищное хозяйство</t>
  </si>
  <si>
    <t>0501</t>
  </si>
  <si>
    <t>Содержание муниципального жилищного фонда, в том числе капитальный ремонт муниципального жилищного фонда</t>
  </si>
  <si>
    <t>71.3.1520</t>
  </si>
  <si>
    <t>Закупки товаров, работ и услуг в целях капитального ремонта государственного (муниципального) имущества</t>
  </si>
  <si>
    <t>243</t>
  </si>
  <si>
    <t>Мероприятия в области жилищного хозяйства</t>
  </si>
  <si>
    <t>71.3.1521</t>
  </si>
  <si>
    <t>Коммунальное хозяйство</t>
  </si>
  <si>
    <t>0502</t>
  </si>
  <si>
    <t>Мероприятия в области коммунального хозяйства</t>
  </si>
  <si>
    <t>71.3.1522</t>
  </si>
  <si>
    <t>Благоустройство</t>
  </si>
  <si>
    <t>0503</t>
  </si>
  <si>
    <t>Проведение мероприятий по организации уличного освещения</t>
  </si>
  <si>
    <t>71.3.1538</t>
  </si>
  <si>
    <t>Проведение мероприятий по озеленению территории поселения</t>
  </si>
  <si>
    <t>71.3.1540</t>
  </si>
  <si>
    <t>Мероприятия по организация и содержанию мест захоронений</t>
  </si>
  <si>
    <t>71.3.1541</t>
  </si>
  <si>
    <t>Прочие мероприятия по благоустройству территории  поселения</t>
  </si>
  <si>
    <t>71.3.1542</t>
  </si>
  <si>
    <t xml:space="preserve">Мероприятия по энергосбережению и повышению энергетической эффективности муниципальных объектов </t>
  </si>
  <si>
    <t>71.3.1553</t>
  </si>
  <si>
    <t>Дорожное хозяйство (Дорожные фонды)</t>
  </si>
  <si>
    <t>0409</t>
  </si>
  <si>
    <t>Строительство и содержание автомобильных дорог и инженерных сооружений на них в границах муниципального образования</t>
  </si>
  <si>
    <t>71.3.1539</t>
  </si>
  <si>
    <t>Проведение мероприятий по обеспечению безопасности дорожного движения</t>
  </si>
  <si>
    <t>71.3.1554</t>
  </si>
  <si>
    <t>Капитальный ремонт и ремонт автомобильных дорог общего пользования местного значения</t>
  </si>
  <si>
    <t>71.3.1560</t>
  </si>
  <si>
    <t>71.3.7014</t>
  </si>
  <si>
    <t>ПОДПРОГРАММА 4.</t>
  </si>
  <si>
    <t>71.4</t>
  </si>
  <si>
    <t>Развитие культуры, организация праздничных мероприятий на территории Войсковицкого сельского поселения Гатчинского муниципального района</t>
  </si>
  <si>
    <t>Культура</t>
  </si>
  <si>
    <t>Проведение культурно-массовых мероприятий к праздничным и памятным датам</t>
  </si>
  <si>
    <t>71.4.1563</t>
  </si>
  <si>
    <t>0801</t>
  </si>
  <si>
    <t>ПОДПРОГРАММА 5.</t>
  </si>
  <si>
    <t>71.5</t>
  </si>
  <si>
    <t>Развитие физической культуры, спорта и молодежной политики на территории Войсковицкого сельского поселения Гатчинского муниципального района</t>
  </si>
  <si>
    <t>Массовый спорт</t>
  </si>
  <si>
    <t>1102</t>
  </si>
  <si>
    <t>Проведение мероприятий в области спорта и физической культуры</t>
  </si>
  <si>
    <t>71.5.1534</t>
  </si>
  <si>
    <t>Строительство иреконтсрукция спортивных сооружений</t>
  </si>
  <si>
    <t>71.5.1639</t>
  </si>
  <si>
    <t>Прочая закупка товаров, работ и услуг для обеспечения гос.и муниц. нужд</t>
  </si>
  <si>
    <t>414</t>
  </si>
  <si>
    <t>Молодежная политика и оздоровление детей</t>
  </si>
  <si>
    <t>0707</t>
  </si>
  <si>
    <t>Проведение мероприятий для детей и молодежи</t>
  </si>
  <si>
    <t>71.5.1523</t>
  </si>
  <si>
    <t>Организация временных оплачиваемых рабочих мест для несовершеннолетних граждан</t>
  </si>
  <si>
    <t>71.5.1566</t>
  </si>
  <si>
    <t>Иные выплаты, за исключением ФОТ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</si>
  <si>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</si>
  <si>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Комплексные меры по профилактике безнадзорности и правонарушений несовершеннолетних</t>
  </si>
  <si>
    <t>71.5.1568</t>
  </si>
  <si>
    <t>НЕПРОГРАММНАЯ ЧАСТЬ</t>
  </si>
  <si>
    <t>Обеспечение деятельности органов управления</t>
  </si>
  <si>
    <t>61</t>
  </si>
  <si>
    <t>Расходы на выплаты муниципальным служащим органов местного самоуправления</t>
  </si>
  <si>
    <t>61.7</t>
  </si>
  <si>
    <t>Муниципальные служащие органов местного самоуправления (ФОТ)</t>
  </si>
  <si>
    <t>61.7.1102</t>
  </si>
  <si>
    <t>Расходы на выплату персоналу государственных (муниципальных) органов</t>
  </si>
  <si>
    <t>121</t>
  </si>
  <si>
    <t>0104</t>
  </si>
  <si>
    <t>Глава местной администрации (исполнительно-распорядительного органа муниципального образования)</t>
  </si>
  <si>
    <t>61.7.1104</t>
  </si>
  <si>
    <t>Содержание органов местного управления</t>
  </si>
  <si>
    <t>61.8</t>
  </si>
  <si>
    <t>Содержание органов местного самоуправления,  том числе оплата труда немуниципальных служащих</t>
  </si>
  <si>
    <t>61.8.1103</t>
  </si>
  <si>
    <t>61.8.7134</t>
  </si>
  <si>
    <t>Депутаты представительного органа муниципального образования</t>
  </si>
  <si>
    <t>61.8.1105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</si>
  <si>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</si>
  <si>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</si>
  <si>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Обеспечение выполнения ОМСУ МО отдельных государственных полномочий ЛО в сфере административных правонарушений</t>
  </si>
  <si>
    <t>0113</t>
  </si>
  <si>
    <t>Прочие расходы</t>
  </si>
  <si>
    <t>62</t>
  </si>
  <si>
    <t>Прочие непрограммные расходы</t>
  </si>
  <si>
    <t>62.9</t>
  </si>
  <si>
    <t>Межбюджетные трансферты</t>
  </si>
  <si>
    <t>62.9.1300</t>
  </si>
  <si>
    <t>Передача полномочий по жилищному контролю</t>
  </si>
  <si>
    <t>62.9.1301</t>
  </si>
  <si>
    <t>540</t>
  </si>
  <si>
    <t>Передача полномочий по казначейскому исполнению бюджетов поселений</t>
  </si>
  <si>
    <t>62.9.1302</t>
  </si>
  <si>
    <t>Передача полномочий по некоторым жилищным вопросам</t>
  </si>
  <si>
    <t>62.9.1303</t>
  </si>
  <si>
    <t>Передача полномочий по регулированию тарифов на товары и услуги организаций коммунального комплекса</t>
  </si>
  <si>
    <t>62.9.1304</t>
  </si>
  <si>
    <t>Передача полномочий по некоторым вопросам в области землеустройства и архитектуры</t>
  </si>
  <si>
    <t>62.9.1305</t>
  </si>
  <si>
    <t>Передача полномочий по осуществлению финансового контроля бюджетов поселений</t>
  </si>
  <si>
    <t>62.9.1306</t>
  </si>
  <si>
    <t>Передача полномочий по организации централизованных коммунальных услуг</t>
  </si>
  <si>
    <t>62.9.1307</t>
  </si>
  <si>
    <t>Резервные фонды местных администраций</t>
  </si>
  <si>
    <t>62.9.1502</t>
  </si>
  <si>
    <t>Резервные фонды</t>
  </si>
  <si>
    <t xml:space="preserve"> 870</t>
  </si>
  <si>
    <t>0111</t>
  </si>
  <si>
    <t>Оценка недвижимости, признание прав и регулирование отношений по государственной и муниципальной собственности</t>
  </si>
  <si>
    <t>62.9.1503</t>
  </si>
  <si>
    <t>Проведение мероприятий, осуществляемых органами местного самоуправления</t>
  </si>
  <si>
    <t>62.9.1500</t>
  </si>
  <si>
    <t>62.9.1505</t>
  </si>
  <si>
    <t>Уплата прочих налогов, сборов и иных платежей</t>
  </si>
  <si>
    <t>852</t>
  </si>
  <si>
    <t>Диспансеризация муниципальных и немуниципальных служащих</t>
  </si>
  <si>
    <t>62.9.1507</t>
  </si>
  <si>
    <t>Доплаты к пенсиям государственных служащих субъектов Российской Федерации и муниципальных служащих</t>
  </si>
  <si>
    <t>62.9.1528</t>
  </si>
  <si>
    <t>Пенсионное обеспечение</t>
  </si>
  <si>
    <t>321</t>
  </si>
  <si>
    <t>1001</t>
  </si>
  <si>
    <t>Проведение выборов в представительные органы муниципального образования</t>
  </si>
  <si>
    <t>62.9.1543</t>
  </si>
  <si>
    <t>0107</t>
  </si>
  <si>
    <t>Подготовка и проведение мероприятий, посвящённых Дню Победы в Великой Отечественной войне 1941-1945г.г. в рамках непрограммных расходов ОМСУ</t>
  </si>
  <si>
    <t>62.9.1641</t>
  </si>
  <si>
    <t>Возмещение затрат по содержанию временно пустующих помещений, находящихся в муниципальной собственности в рамках непрограммных расходов ОМСУ</t>
  </si>
  <si>
    <t>62.9.1659</t>
  </si>
  <si>
    <t>Осуществление первичного воинского учета на территориях, где отсутствуют военные комиссариаты</t>
  </si>
  <si>
    <t>62.9.5100</t>
  </si>
  <si>
    <t>62.9.5118</t>
  </si>
  <si>
    <t>0203</t>
  </si>
  <si>
    <t xml:space="preserve">(Обл) Государственная программа Ленинградской области "Устойчивое общественное развитие Ленинградской области". Прочие субсидии на реализацию областного закона от 14 декабря 2012года №95-оз , в том числе в населенных пунктах Ленинградской области </t>
  </si>
  <si>
    <t>62.9.7088</t>
  </si>
  <si>
    <t>Поддержка муниципальных образований по развитию общественной инфраструктуры</t>
  </si>
  <si>
    <t>62.9.7202</t>
  </si>
  <si>
    <t>Развитие и поддержка малого предпринимательства</t>
  </si>
  <si>
    <t>62.9.9504</t>
  </si>
  <si>
    <t>Противодействие коррупции в администрации сельского поселения</t>
  </si>
  <si>
    <t>62.9.9518</t>
  </si>
  <si>
    <t>Содействие развитию сельскохозяйственного производства, расширению рынка сельскохозяйственной продукции</t>
  </si>
  <si>
    <t>62.9.9535</t>
  </si>
  <si>
    <t>Развитие муниципальной службы</t>
  </si>
  <si>
    <t>62.9.9548</t>
  </si>
  <si>
    <t xml:space="preserve">ВЦП "Развитие части территории Войсковицкого сельского поселения  Гатчинского муниципального района на 2015 год" </t>
  </si>
  <si>
    <t>62.9.9558</t>
  </si>
  <si>
    <t>МБУК "ВОЙСКОВИЦКИЙ ЦЕНТР КУЛЬТУРЫ И СПОРТА"</t>
  </si>
  <si>
    <t>Мероприятия по обеспечению деятельности подведомственных учреждений культуры (МБУК)</t>
  </si>
  <si>
    <t>71.4.1250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</si>
  <si>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</si>
  <si>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</si>
  <si>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на  ные цели</t>
  </si>
  <si>
    <t>612</t>
  </si>
  <si>
    <t>Мероприятия по обеспечению деятельности муниципальных библиотек</t>
  </si>
  <si>
    <t>71.4.1260</t>
  </si>
  <si>
    <t>Мероприятия по капитальному ремонту объектов культуры</t>
  </si>
  <si>
    <t>71.4.1564</t>
  </si>
  <si>
    <t>71.4.7067</t>
  </si>
  <si>
    <t>Обеспечение выплат стимулирующего характера работникам мун.учреждений культуры</t>
  </si>
  <si>
    <t>71.4.7036</t>
  </si>
  <si>
    <t>Субсидии на обеспечение выплат стимулирующего характера  (библиотека) обл.бюдж.</t>
  </si>
  <si>
    <t>Субсидии на обеспечение выплат стимулирующего характера  ( МБУК) обл.бюдж.</t>
  </si>
  <si>
    <t>Физическая культура</t>
  </si>
  <si>
    <t>1101</t>
  </si>
  <si>
    <t>Мероприятия по обеспечению деятельности подведомственных учреждений физкультуры и спорта</t>
  </si>
  <si>
    <t>71.5.1280</t>
  </si>
  <si>
    <t>ИТОГО</t>
  </si>
  <si>
    <t>Наименование показателя</t>
  </si>
  <si>
    <t>Код раздела</t>
  </si>
  <si>
    <t>Код подраздела</t>
  </si>
  <si>
    <t>Бюджет на  2015 год Уточнен.  1 попр. (тыс.руб.)</t>
  </si>
  <si>
    <t>Бюджет на  2015 год Уточнен.  2 попр. (тыс.руб.)</t>
  </si>
  <si>
    <t>изм. 16.09.2015</t>
  </si>
  <si>
    <t>Общегосударственные вопросы</t>
  </si>
  <si>
    <t>0100</t>
  </si>
  <si>
    <t>Функционирование закон-х представительных органов МО</t>
  </si>
  <si>
    <t>Функционирование местных администраций</t>
  </si>
  <si>
    <t>Обеспечение деятельности финансовых органов и Контрольно-счетной палаты</t>
  </si>
  <si>
    <t>0106</t>
  </si>
  <si>
    <t>Проведение выборов и референдумов</t>
  </si>
  <si>
    <t xml:space="preserve">Другие общегосударственные вопросы </t>
  </si>
  <si>
    <t>Национальная оборона</t>
  </si>
  <si>
    <t>0200</t>
  </si>
  <si>
    <t>Мобилизационная и вневойсковая подготовка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</si>
  <si>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</si>
  <si>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</si>
  <si>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характераи, гражданская оборона</t>
  </si>
  <si>
    <t>Национальная экономика</t>
  </si>
  <si>
    <t>0400</t>
  </si>
  <si>
    <t xml:space="preserve">Топливно-энергетический комплекс </t>
  </si>
  <si>
    <t>0402</t>
  </si>
  <si>
    <t>Сельское хозяйство и рыболвство</t>
  </si>
  <si>
    <t>Дорожное хозяйство (дорожные фонды)</t>
  </si>
  <si>
    <t>Жилищно-коммунальное хозяйство</t>
  </si>
  <si>
    <t>0500</t>
  </si>
  <si>
    <t xml:space="preserve">Жилищное  хозяйство </t>
  </si>
  <si>
    <t xml:space="preserve">Коммунальное хозяйство </t>
  </si>
  <si>
    <t xml:space="preserve">Другие вопросы в области ЖКХ  </t>
  </si>
  <si>
    <t>0505</t>
  </si>
  <si>
    <t>Образование</t>
  </si>
  <si>
    <t>0700</t>
  </si>
  <si>
    <t>Культура, кинематография</t>
  </si>
  <si>
    <t>0800</t>
  </si>
  <si>
    <t xml:space="preserve">Культура </t>
  </si>
  <si>
    <t>Социальная политика</t>
  </si>
  <si>
    <t>1000</t>
  </si>
  <si>
    <t>Физическая культура и спорт</t>
  </si>
  <si>
    <t>1100</t>
  </si>
  <si>
    <t>ВСЕГО РАСХОДОВ</t>
  </si>
  <si>
    <t>Приложение   3</t>
  </si>
  <si>
    <t>Межбюджетные трансферты,</t>
  </si>
  <si>
    <t>получаемые из других бюджетов в 2015 году</t>
  </si>
  <si>
    <t>Код бюджетной классификации</t>
  </si>
  <si>
    <t xml:space="preserve">Наименование бюджетных трансфертов </t>
  </si>
  <si>
    <t>2 02 01001 10 0000 151</t>
  </si>
  <si>
    <t>Дотации бюджетам поселений на выравнивание  бюджетной обеспеченности (ФФПП обл)</t>
  </si>
  <si>
    <t>Дотации бюджетам поселений на выравнивание бюджетной обеспеченности (ФФПП район)</t>
  </si>
  <si>
    <t>2 02 02216 10 0000 151</t>
  </si>
  <si>
    <t>Субсидии бюджетам поселений на осуществление дорожной деятельности в отношении дорог общего пользования, а также кап.ремонта и ремонта ддворовых территоий</t>
  </si>
  <si>
    <t>2 02 02999 10 0000 151</t>
  </si>
  <si>
    <t>Прочие субсидии бюджетам поселений</t>
  </si>
  <si>
    <t>2 02 03015 10 0000 151</t>
  </si>
  <si>
    <t xml:space="preserve">Субвенции бюджетам поселений на осуществление первичного воинского  учета на территориях, где отсутствуют военные комиссариаты </t>
  </si>
  <si>
    <t>2 02 03024 10 0000 151</t>
  </si>
  <si>
    <t>Субвенции бюджетам поселений на выполнение передаваемых полномочий субъектов РФ</t>
  </si>
  <si>
    <t>2 02 04014 10 0000 151</t>
  </si>
  <si>
    <t xml:space="preserve">Межбюджетные трансферты, передаваемые бюджетам  поселений из бюджетов муниципальных районов на осуществление части  полномочий  по решению вопросов  местного значения   в соответствии с заключенными соглашениями </t>
  </si>
  <si>
    <t>2 02 04999 10 0000 151</t>
  </si>
  <si>
    <t>Прочие межбюджетные трансферты,передаваемые бюджетам поселений</t>
  </si>
  <si>
    <t>2 19 05000 10 0000 151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</si>
  <si>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</si>
  <si>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ВСЕГО:</t>
  </si>
  <si>
    <t>изм_17_09_2015</t>
  </si>
  <si>
    <t>итс</t>
  </si>
  <si>
    <t>штраф</t>
  </si>
  <si>
    <t xml:space="preserve">Распределение бюджетных ассигнований на реализацию муниципальных программ в  МО Войсковицкое сельское поселение на 2015 год </t>
  </si>
  <si>
    <t>№ п/п</t>
  </si>
  <si>
    <t>Наименование программы</t>
  </si>
  <si>
    <t>Наименование постановления</t>
  </si>
  <si>
    <t>Дата</t>
  </si>
  <si>
    <t>Номер</t>
  </si>
  <si>
    <t>Перечень мероприятий</t>
  </si>
  <si>
    <t>КФСР</t>
  </si>
  <si>
    <t>КЦСР</t>
  </si>
  <si>
    <t>Утверждено  на 2015 год, (тыс.руб.)</t>
  </si>
  <si>
    <t>изм18_03_15</t>
  </si>
  <si>
    <t>изм 16_06_15</t>
  </si>
  <si>
    <t>1</t>
  </si>
  <si>
    <t>Социально-экономическое развитие муниципального образования Войсковицкое сельское поселение Гатчинского муниципального района Ленинградской области</t>
  </si>
  <si>
    <t>Об утверждении муниципальной программы Социально-экономическое развитие Войсковицкого сельского поселения Гатчинского муниципального района Ленинградской области" на 2015 год</t>
  </si>
  <si>
    <t>23.10.2014</t>
  </si>
  <si>
    <t>195</t>
  </si>
  <si>
    <t>Подпрограмма «Стимулирование экономичесой активности на территории МО Войсковицкое сельское поселение» на 2015 год</t>
  </si>
  <si>
    <t>1.1.</t>
  </si>
  <si>
    <t>Мероприятия в области информационно-коммуникационных технологий и связи</t>
  </si>
  <si>
    <t>36</t>
  </si>
  <si>
    <t>1.2.</t>
  </si>
  <si>
    <t>Мероприятия в области строительства,архитектуры и градостроительства</t>
  </si>
  <si>
    <t>1.3.</t>
  </si>
  <si>
    <t>1.4.</t>
  </si>
  <si>
    <t>Реализация мероприятий, направленных на снижение напряженности на рынке труда</t>
  </si>
  <si>
    <t>71.1.1533</t>
  </si>
  <si>
    <t>1.5.</t>
  </si>
  <si>
    <t>Мероприятия по развитию и поддержке предпринимательства</t>
  </si>
  <si>
    <t>1.6.</t>
  </si>
  <si>
    <t xml:space="preserve">Содействие созданию условий для развития сельского хозяйства </t>
  </si>
  <si>
    <t>Подпрограмма «Обеспечение безопасности на территории МО Войсковицкое сельское поселение» на 2015 год</t>
  </si>
  <si>
    <t>2.1.</t>
  </si>
  <si>
    <t xml:space="preserve">Проведение мероприятий по гражданской обороне </t>
  </si>
  <si>
    <t>50</t>
  </si>
  <si>
    <t>2.2.</t>
  </si>
  <si>
    <t>2.3.</t>
  </si>
  <si>
    <t>2.4.</t>
  </si>
  <si>
    <t xml:space="preserve">Профилактика терроризма и экстремизма </t>
  </si>
  <si>
    <t>10</t>
  </si>
  <si>
    <t>Подпрограмма  «Жилищно - коммунальное хозяйство, содержание автомобильных дорог и благоустройство территории Войсковицкого сельского поселения Гатчинского муниципального района»  на 2015 год</t>
  </si>
  <si>
    <t>3.1.</t>
  </si>
  <si>
    <t>3.2.</t>
  </si>
  <si>
    <t xml:space="preserve">Мероприятия в области жилищного хозяйства  </t>
  </si>
  <si>
    <t>3.3.</t>
  </si>
  <si>
    <t xml:space="preserve">Мероприятия в области коммунального хозяйства </t>
  </si>
  <si>
    <t>3.4.</t>
  </si>
  <si>
    <t xml:space="preserve">Проведение мероприятий по организации уличного освещения </t>
  </si>
  <si>
    <t>3.5.</t>
  </si>
  <si>
    <t>Строительство и  содержание автомобильных дорог и инженерных сооружений на них в границах муниципального образования</t>
  </si>
  <si>
    <t>3.6.</t>
  </si>
  <si>
    <t>3.7.</t>
  </si>
  <si>
    <t xml:space="preserve">Мероприятия по организации и содержанию мест захоронений </t>
  </si>
  <si>
    <t>3.8.</t>
  </si>
  <si>
    <t>Прочие мероприятия по благоустройству территории поселения</t>
  </si>
  <si>
    <t>3.9.</t>
  </si>
  <si>
    <t>500</t>
  </si>
  <si>
    <t>3.10.</t>
  </si>
  <si>
    <t>3.11.</t>
  </si>
  <si>
    <t>Выполнение работ по ремонту асфальтобетонного покрытия ул. Манина в п. Войсковицы 4 этап завершающий (участок от ул. Солнечная до автодороги А120) Обл и ремонт дороги к дв.тер-ям д14-15 (от школы к блок-модульной котельной)</t>
  </si>
  <si>
    <t>Подпрограмма «Развитие культуры, организация праздничных мероприятий на территории Войсковицкого сельского поселения Гатчинского муниципального района»  на 2015 год</t>
  </si>
  <si>
    <t>4.1.1.</t>
  </si>
  <si>
    <r>
      <rPr>
        <b/>
        <sz val="12"/>
        <rFont val="Times New Roman"/>
        <family val="1"/>
        <charset val="204"/>
      </rPr>
      <t xml:space="preserve">Муниципальное задание: </t>
    </r>
    <r>
      <rPr>
        <sz val="12"/>
        <rFont val="Times New Roman"/>
        <family val="1"/>
        <charset val="204"/>
      </rPr>
      <t>Мероприятия по обеспечению деятельности подведомственных учреждений культуры</t>
    </r>
  </si>
  <si>
    <t>4.1.2.</t>
  </si>
  <si>
    <r>
      <rPr>
        <b/>
        <sz val="12"/>
        <rFont val="Times New Roman"/>
        <family val="1"/>
        <charset val="204"/>
      </rPr>
      <t>Иные цели:</t>
    </r>
    <r>
      <rPr>
        <sz val="12"/>
        <rFont val="Times New Roman"/>
        <family val="1"/>
        <charset val="204"/>
      </rPr>
      <t xml:space="preserve"> Мероприятия по обеспечению деятельности подведомственных учреждений культуры</t>
    </r>
  </si>
  <si>
    <t>4.2.1.</t>
  </si>
  <si>
    <r>
      <rPr>
        <b/>
        <sz val="12"/>
        <rFont val="Times New Roman"/>
        <family val="1"/>
        <charset val="204"/>
      </rPr>
      <t xml:space="preserve">Муниципальное задание: </t>
    </r>
    <r>
      <rPr>
        <sz val="12"/>
        <rFont val="Times New Roman"/>
        <family val="1"/>
        <charset val="204"/>
      </rPr>
      <t>Мероприятия по обеспечению деятельности муниципальных библиотек</t>
    </r>
  </si>
  <si>
    <t>4.2.2.</t>
  </si>
  <si>
    <r>
      <rPr>
        <b/>
        <sz val="12"/>
        <rFont val="Times New Roman"/>
        <family val="1"/>
        <charset val="204"/>
      </rPr>
      <t xml:space="preserve">Иные цели:  </t>
    </r>
    <r>
      <rPr>
        <sz val="12"/>
        <rFont val="Times New Roman"/>
        <family val="1"/>
        <charset val="204"/>
      </rPr>
      <t>Мероприятия по обеспечению деятельности муниципальных библиотек</t>
    </r>
  </si>
  <si>
    <t>4.3.</t>
  </si>
  <si>
    <t>4.4.1.</t>
  </si>
  <si>
    <t>Мероприятия по капитальному ремонту объектов культуры МБУК</t>
  </si>
  <si>
    <t>4.4.2.</t>
  </si>
  <si>
    <t>Мероприятия по капитальному ремонту объектов культуры Библ.</t>
  </si>
  <si>
    <t>4.5.1.</t>
  </si>
  <si>
    <t>Субсидии на обеспечение выплат стимулирующего характера МБУК (обл.бюдж)</t>
  </si>
  <si>
    <t>4.5.2.</t>
  </si>
  <si>
    <t>Субсидии на обеспечение выплат стимулирующего характера Библ. (обл.бюдж)</t>
  </si>
  <si>
    <t>Подпрограмма  «Развитие физической культуры, спорта и молодежной политики на территории Войсковицкого сельского поселения Гатчинского муниципального района»  на 2015 год</t>
  </si>
  <si>
    <t>5.1.</t>
  </si>
  <si>
    <r>
      <rPr>
        <b/>
        <sz val="12"/>
        <rFont val="Times New Roman"/>
        <family val="1"/>
        <charset val="204"/>
      </rPr>
      <t xml:space="preserve">Муниципальное задание: </t>
    </r>
    <r>
      <rPr>
        <sz val="12"/>
        <rFont val="Times New Roman"/>
        <family val="1"/>
        <charset val="204"/>
      </rPr>
      <t>Мероприятия по обеспечению деятельности подведомственных учреждений физкультуры и спорта</t>
    </r>
  </si>
  <si>
    <r>
      <rPr>
        <b/>
        <sz val="12"/>
        <rFont val="Times New Roman"/>
        <family val="1"/>
        <charset val="204"/>
      </rPr>
      <t xml:space="preserve">Иные цели: </t>
    </r>
    <r>
      <rPr>
        <sz val="12"/>
        <rFont val="Times New Roman"/>
        <family val="1"/>
        <charset val="204"/>
      </rPr>
      <t>Мероприятия по обеспечению деятельности подведомственных учреждений физкультуры и спорта</t>
    </r>
  </si>
  <si>
    <t>5.2.</t>
  </si>
  <si>
    <t>5.3.</t>
  </si>
  <si>
    <t>5.4.</t>
  </si>
  <si>
    <t>5.5.</t>
  </si>
  <si>
    <t>1,701</t>
  </si>
  <si>
    <t>-1,93373</t>
  </si>
  <si>
    <t>5.6.</t>
  </si>
  <si>
    <t>Строительство и реконструкция спортивных сооружений</t>
  </si>
  <si>
    <t>2</t>
  </si>
  <si>
    <t xml:space="preserve">ВЦП "Развитие и поддержка малого предпринимательства 
на территории  Войсковицкого сельского поселения 
на 2015 -2016 годы"
</t>
  </si>
  <si>
    <t>Об утверждении ведомственной целевой программы «Развитие и поддержка малого предпринимательства на территории  Войсковицкого сельского поселения на 2015-2016 годы»</t>
  </si>
  <si>
    <t>25.03.2015</t>
  </si>
  <si>
    <t>51</t>
  </si>
  <si>
    <t>3</t>
  </si>
  <si>
    <t xml:space="preserve"> Программа противодействия коррупции  в МО Войсковицкое сельское поселение Гатчинского муниципального района Ленинградской области на 2014-2015 годы
</t>
  </si>
  <si>
    <t>Об утверждении муниципальной Программы противодействия коррупции  в МО Войсковицкое сельское поселение Гатчинского муниципального района Ленинградской области на 2014-2015 годы</t>
  </si>
  <si>
    <t>04.09.2013</t>
  </si>
  <si>
    <t>178</t>
  </si>
  <si>
    <t>4</t>
  </si>
  <si>
    <t xml:space="preserve">ВЦП "Содействие в развитии сельскохозяйственного производства, расширению рынка сельскохозяйственной продукции на территории Войсковицкого сельского поселения на 2015-2016 годы"
</t>
  </si>
  <si>
    <t xml:space="preserve">Об   утверждении ведомственной  
целевой программы «Содействие в развитии 
сельскохозяйственного производства,
расширению рынка сельскохозяйственной продукции 
на территории Войсковицкого сельского поселения 
на 2015-2016 годы»
</t>
  </si>
  <si>
    <t>52</t>
  </si>
  <si>
    <t>5</t>
  </si>
  <si>
    <t>Программа развития муниципальной службы в муниципальном образовании Войсковицкое сельское поселение на 2014-2015 годы</t>
  </si>
  <si>
    <t>Об утверждении муниципальной Программы развития муниципальной службы в МО Войсковицкое сельское поселение на 2014-2015 годы</t>
  </si>
  <si>
    <t>177</t>
  </si>
  <si>
    <t>Развитие части территории Войсковицкого сельского поселения Гатчинского муниципального района на 2015 год</t>
  </si>
  <si>
    <t>Об утверждении ведомственной целевой  программы "Развитие части территории Войсковицкого сельского поселения Гатчинского муниципального района на 2015 год</t>
  </si>
  <si>
    <t>16.03.2015</t>
  </si>
  <si>
    <t>44</t>
  </si>
  <si>
    <t>Выполнение работ по ремонту асфальтобетонного покрытия автомобильной дороги Центральная в д. Тяглино 2 этап (участок автодороги от дома №20 до дома №30) Обл</t>
  </si>
  <si>
    <t>6</t>
  </si>
  <si>
    <t>Выполнение работ по ремонту асфальтобетонного покрытия автомобильной дороги Центральная в д. Тяглино 2 этап (участок автодороги от дома №20 до дома №30) МБ</t>
  </si>
  <si>
    <t>Итого расходов по утвержденным муниципальным программам на 2015 год :</t>
  </si>
  <si>
    <t xml:space="preserve">                                                                                    </t>
  </si>
  <si>
    <t>Показатели</t>
  </si>
  <si>
    <t>Бюджетные ассигнования  на 2015 год</t>
  </si>
  <si>
    <t>Кассовый расход на оплату труда с начислениями на выплаты по оплате труда с начала  года (тыс.руб.)</t>
  </si>
  <si>
    <t>1.</t>
  </si>
  <si>
    <t>Органы местного самоуправления муниципального образования  Войсковицкое сельское поселение</t>
  </si>
  <si>
    <t xml:space="preserve">Перечислено субсидиий из бюджета Войсковицкого сельского поселения муниципальному бюджетному учреждению культуры "Войсковицкий центр культуры и спорта" на содержание работников, оказывающих муниципальные услуги (работы), являющиеся  в качестве основных видов деятельности, населению согласно Муниципальному заданию  с начала текущего года </t>
  </si>
  <si>
    <t xml:space="preserve"> № п/п</t>
  </si>
  <si>
    <t>Бюджетные обязательства на 2015 год</t>
  </si>
  <si>
    <t>2.</t>
  </si>
  <si>
    <t>Работники муниципальных бюджетных  учреждений муниципального образования Войсковицкое сельское поселение, в том числе:</t>
  </si>
  <si>
    <t>2.1</t>
  </si>
  <si>
    <t>Работники учреждений культуры</t>
  </si>
  <si>
    <t>2.2</t>
  </si>
  <si>
    <t>Содержание тренеров, техперсонала  спортивных клубов при МБУК "Войсковицкий центр культуры и спорта" (по договорам гражданско-правового характера)</t>
  </si>
  <si>
    <t>О   Т   Ч   Е   Т</t>
  </si>
  <si>
    <t>об использовании средств по подразделу  0111 «Резервные фонды» администрации Войсковицкого сельского поселения Гатчинского муниципального района</t>
  </si>
  <si>
    <t>Наименование расходов</t>
  </si>
  <si>
    <t xml:space="preserve">Наименование нормативного документа </t>
  </si>
  <si>
    <t>Сумма (РУБ)</t>
  </si>
  <si>
    <t>код</t>
  </si>
  <si>
    <t>наименование</t>
  </si>
  <si>
    <t>Утверждено на 2015 год, (тыс.руб.)</t>
  </si>
  <si>
    <t>000 01 05 00 00 10 0000 000</t>
  </si>
  <si>
    <t>Изменение остатков средств бюджета на счетах по учету  средств бюджета</t>
  </si>
  <si>
    <t>Всего источников финансирования дефицита бюджета</t>
  </si>
  <si>
    <t>Приложение   1</t>
  </si>
  <si>
    <t>Приложение № 2</t>
  </si>
  <si>
    <t>Первоначальний план на 2015год, (тыс.руб.)</t>
  </si>
  <si>
    <t>Исполнение            за 9 мес,       (тыс.руб)</t>
  </si>
  <si>
    <t>НАЛОГОВЫЕ И НЕНАЛОГОВЫЕ ДОХОДЫ</t>
  </si>
  <si>
    <t>НАЛОГОВЫЕ 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</si>
  <si>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</si>
  <si>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</si>
  <si>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</si>
  <si>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</si>
  <si>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1 03 02000 00 0000 000</t>
  </si>
  <si>
    <t>НАЛОГИ НА ТОВАРЫ(РАБОТЫ, УСЛУГИ),РЕАЛИЗУЕМЫЕ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</si>
  <si>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</si>
  <si>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РФ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</si>
  <si>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</si>
  <si>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</si>
  <si>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</si>
  <si>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</si>
  <si>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1 06 04000 00 0000 110</t>
  </si>
  <si>
    <t xml:space="preserve">Транспортный налог </t>
  </si>
  <si>
    <t>1 06 06000 00 0000 110</t>
  </si>
  <si>
    <t>Земельный налог</t>
  </si>
  <si>
    <t>1 08 00000 00 0000 000</t>
  </si>
  <si>
    <t>ГОСУДАРСТВЕННАЯ ПОШЛИНА</t>
  </si>
  <si>
    <t>1 08 04020 01 0000 110</t>
  </si>
  <si>
    <t>Государственная пошлина 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</t>
  </si>
  <si>
    <t>НЕНАЛОГОВЫЕ 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</si>
  <si>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</si>
  <si>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</si>
  <si>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1 11 05010 10 0000 120</t>
  </si>
  <si>
    <t>Доходы, получаемые  в виде арендной платы  за земельные участки, государственная собственность на которые  не разграничена  и которые расположены  в границах поселений, а также средства от продажи права на заключение договоров  аренды указанных земельных участков</t>
  </si>
  <si>
    <t>1 11 05035 10 0000 120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</si>
  <si>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</si>
  <si>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1 11 05075 10 0000 120</t>
  </si>
  <si>
    <t>Доходы от сдачи в аренду имущества, составляющего казну сельских поселений (за исключением земельных участков)</t>
  </si>
  <si>
    <t>1 11 09045 10 0000 120</t>
  </si>
  <si>
    <t>Прочие поступления от использования имущества, находящегося в собственности поселений  (за исключением имущества АУ и МУП, в т.ч. казенных)</t>
  </si>
  <si>
    <t>1 11 09045 10 0111 120</t>
  </si>
  <si>
    <t>Прочие поступления от использования имущества (найм муниципального жилья)</t>
  </si>
  <si>
    <t>1 13 00000 00 0000 000</t>
  </si>
  <si>
    <t>ДОХОДЫ ОТ ОКАЗАНИЯ ПЛАТНЫХ УСЛУГ И КОМПЕНСАЦИИ ЗАТРАТ ГОСУДАРСТВА</t>
  </si>
  <si>
    <t>1 13 02000 10 0000 130</t>
  </si>
  <si>
    <t>Прочие доходы от компенсации затрат  бюджетов поселений</t>
  </si>
  <si>
    <t>1 13 02995 10 0000 130</t>
  </si>
  <si>
    <t xml:space="preserve">Прочие доходы от компенсации затрат  бюджетов поселений </t>
  </si>
  <si>
    <t>1 13 03050 10 0504 130</t>
  </si>
  <si>
    <t xml:space="preserve">Прочие доходы от оказания платных услуг получателями средств бюджетов поселений и компенсации затрат государства бюджетов поселений (Доходы от платных услуг Адм.) </t>
  </si>
  <si>
    <t>1 13 03050 10 0505 130</t>
  </si>
  <si>
    <t xml:space="preserve">Прочие доходы от оказания платных услуг получателями средств бюджетов поселений и компенсации затрат государства бюджетов поселений (Доходы от платных услуг МБУК) </t>
  </si>
  <si>
    <t>1 14 00000 00 0000 000</t>
  </si>
  <si>
    <t>ДОХОДЫ  ОТ ПРОДАЖИ МАТЕРИАЛЬНЫХ И НЕМАТЕРИАЛЬНЫХ АКТИВОВ</t>
  </si>
  <si>
    <t>1 14 02053 10 0000 410</t>
  </si>
  <si>
    <t>Доходы от реализации иного имущества, находящегося 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</si>
  <si>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1 14 06013 10 0000 430</t>
  </si>
  <si>
    <t>Доходы от продажи земельных участков, государственная собственность на которые не разграничена и которые расположены  в границах поселений</t>
  </si>
  <si>
    <t>1 14 06025 10 0000 430</t>
  </si>
  <si>
    <t>Доходы от продажи земельных участков, находящихся в собственности (за исключением земельных участков муниц. бюджетных и автономных учреждений)</t>
  </si>
  <si>
    <t>ШТРАФЫ, САНКЦИИ, ВОЗМЕЩЕНИЕ УЩЕРБА</t>
  </si>
  <si>
    <t>1 16 90050 10 0000 140</t>
  </si>
  <si>
    <t>Прочие поступления от денежных взысканий (штрафов) и иных сумм в возмещение ущерба, зачисляемые в бюджеты поселений</t>
  </si>
  <si>
    <t>1 17 00000 00 0000 000</t>
  </si>
  <si>
    <t>ПРОЧИЕ НЕНАЛОГОВЫЕ ДОХОДЫ</t>
  </si>
  <si>
    <t>1 17 05000 00 0000 180</t>
  </si>
  <si>
    <t>Прочие неналоговые доходы</t>
  </si>
  <si>
    <t>1 17 01050 10 0000 180</t>
  </si>
  <si>
    <t>Невыясненные поступления, зачисляемые в бюджеты поселений</t>
  </si>
  <si>
    <t>1 17 05050 10 0504 180</t>
  </si>
  <si>
    <t>Прочие неналоговые доходы бюджетов поселений</t>
  </si>
  <si>
    <t>1 17 05050 10 0505 180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</si>
  <si>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</si>
  <si>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</si>
  <si>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</si>
  <si>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</si>
  <si>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2 02 01000 00 0000 151</t>
  </si>
  <si>
    <t>2 02 02000 00 0000 151</t>
  </si>
  <si>
    <t>Субсидии  бюджетам субъектов  Российской Федерации и муниципальных образований</t>
  </si>
  <si>
    <t>Субсидии бюджетам поселений на осуществление дорожной деятельности в отношении автодорог общего пользования, а также капремонта и ремонта дворовых территорий</t>
  </si>
  <si>
    <t>Прочие субсидии бюджетам поселений (обл)</t>
  </si>
  <si>
    <t>2 02 03000 00 0000 151</t>
  </si>
  <si>
    <t>Субвенции бюджетам субъектов  Российской Федерации и муниципальных образований</t>
  </si>
  <si>
    <t>Субвенции бюджетам поселений на выполнение передаваемых полномочий субъектов Российской Федерации</t>
  </si>
  <si>
    <t>2 02 04000 00 0000 151</t>
  </si>
  <si>
    <t>Иные межбюджетные трансферты</t>
  </si>
  <si>
    <t xml:space="preserve">Прочие межбюджетные трансферты, передаваемые бюджетам поселений </t>
  </si>
  <si>
    <t>2 18 05000 00 0000 000</t>
  </si>
  <si>
    <t>Доходы бюджетов бюджетной системы Российской Федерации от возврата организациями остатков субсидий прошлых лет</t>
  </si>
  <si>
    <t>2 18 05010 10 0000 180</t>
  </si>
  <si>
    <t>Доходы бюджетов поселений от возврата остатков субсидий, субвенций и иных межбюджетных трансфертов, имеющих целевое назначение прошлых лет из бюджетов муниципальных районов</t>
  </si>
  <si>
    <t>2 19 05000 00 0000 000</t>
  </si>
  <si>
    <t>Возврат остатков субсидий, субвенций и иных межбюджетных трансфертов, имеющих целевое назначение прошлых лет</t>
  </si>
  <si>
    <t>Возврат остатков субсидий, субвенций и иных межбюджетных трансфертов, имеющих целевое назначение, прошлых лет из бюджетов поселений</t>
  </si>
  <si>
    <t>ВСЕГО ДОХОДОВ</t>
  </si>
  <si>
    <t>Приложение 4</t>
  </si>
  <si>
    <t>Утверждено на 2015 год (тыс.руб.)</t>
  </si>
  <si>
    <t>Утверждено на 2015 г. (тыс.руб.)</t>
  </si>
  <si>
    <t>проверка</t>
  </si>
  <si>
    <t>Приложение   6.1.</t>
  </si>
  <si>
    <t>Бюджет на 2015 год, (до внесения изменений) (тыс.руб.)</t>
  </si>
  <si>
    <t>Бюджет на 2015 год, (уточненный1) (тыс.руб.)</t>
  </si>
  <si>
    <t>Бюджет на 2015 год, (уточненный 3попр.) (тыс.руб.)</t>
  </si>
  <si>
    <t>изм_18_03_15</t>
  </si>
  <si>
    <t>изм_16_06_15</t>
  </si>
  <si>
    <t>изм_16_09_2015</t>
  </si>
  <si>
    <t xml:space="preserve">Общеэкономические вопросы </t>
  </si>
  <si>
    <t>для дороги Тяглино</t>
  </si>
  <si>
    <t>дорога ул.манина</t>
  </si>
  <si>
    <t>Обеспечение выплат стимулирующего характера работникам муниципальных учреждений культуры</t>
  </si>
  <si>
    <t>Субсидии на обеспечение выплат стимулирующего характера (библиотека) обл.бюдж.</t>
  </si>
  <si>
    <t>Субсидии на обеспечение выплат стимулирующего характера (МБУК) обл.бюдж.</t>
  </si>
  <si>
    <t>????</t>
  </si>
  <si>
    <t>фок</t>
  </si>
  <si>
    <t>пенсии</t>
  </si>
  <si>
    <t>Исполнение за 9 мес 2015г (тыс.руб.)</t>
  </si>
  <si>
    <t>% исполнения</t>
  </si>
  <si>
    <t>% исполнеия</t>
  </si>
  <si>
    <t>61.8.1104</t>
  </si>
  <si>
    <t>122</t>
  </si>
  <si>
    <t>Иные выплаты, за исключением ФОТ государственных (муниципальных) органов, за исключением фонда оплаты труда</t>
  </si>
  <si>
    <t xml:space="preserve">Утверждено на 2015 год (тыс.руб.) </t>
  </si>
  <si>
    <t>Приложение 6</t>
  </si>
  <si>
    <t>Приложение   5</t>
  </si>
  <si>
    <r>
      <t xml:space="preserve">Дотации  бюджетам субъектов  Российской Федерации </t>
    </r>
    <r>
      <rPr>
        <sz val="8"/>
        <rFont val="Times New Roman"/>
        <family val="1"/>
        <charset val="204"/>
      </rPr>
      <t>и муниципальных образований</t>
    </r>
  </si>
  <si>
    <t>Поступление доходов в бюджет муниципального образования Войсковицкое  сельское  поселение  за  2015 год</t>
  </si>
  <si>
    <t>Исполнение               за 2015 год,       (тыс.руб)</t>
  </si>
  <si>
    <t>Исполнение за  2015год (тыс.руб.)</t>
  </si>
  <si>
    <t xml:space="preserve">Распределение бюджетных ассигнований по разделам и подразделам, классификации расходов бюджета МО Войсковицкое сельское поселение за  2015 год </t>
  </si>
  <si>
    <t>Исполнение за 2015год (тыс.руб.)</t>
  </si>
  <si>
    <t>71.3.7013</t>
  </si>
  <si>
    <t xml:space="preserve">Капитальный ремонт и ремонт дворовых территорий многоквар.домов, проездов к двор.терр-ям многокв. домов </t>
  </si>
  <si>
    <t>Исполнение  за 2015 год, (тыс.руб.)</t>
  </si>
  <si>
    <t>3.13.</t>
  </si>
  <si>
    <t>Перечисление ежемесячных взносов в фонд кап.ремонта имущества в многокв.доме на счет регион.оператора</t>
  </si>
  <si>
    <t>71.3.1564</t>
  </si>
  <si>
    <t>Исполнено за  2015 год (тыс.руб)</t>
  </si>
  <si>
    <t>Фактическая численность муниципальных служащих  на 01.01.2016г. (чел.)</t>
  </si>
  <si>
    <t>Фактическая численность на 01.01.2016г. (чел.)</t>
  </si>
  <si>
    <t>Перечислено субсидий на оплату труда         за 2015 год</t>
  </si>
  <si>
    <t>Кассовый расход полученных субсидий на оплату труда  за  2015 год</t>
  </si>
  <si>
    <t>Сведения о численности муниципальных служащих органов местного самоуправления, работников муниципальных учреждений и фактических затратах на их денежное содержание по муниципальному образованию Войсковицкое сельское поселение за  2016 год</t>
  </si>
  <si>
    <t>за 2015 года</t>
  </si>
  <si>
    <t>за  2015 год</t>
  </si>
  <si>
    <t xml:space="preserve">*Средства резервного фонда администрации Войсковицкого сельского поселения за  2015 год </t>
  </si>
  <si>
    <t xml:space="preserve">Распределение бюджетных ассигнований  по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бюджетов, по разделам и подразделам классификации расходов бюджетов бюджета МО Войсковицкое сельское поселение за  2015 год </t>
  </si>
  <si>
    <t>Выполнение работ по ремонтупроезда к дворовым территориям д.14 и 15, от школы до блок-модульной котельной</t>
  </si>
  <si>
    <t>Уточнённый  план доходов , (тыс.руб.)</t>
  </si>
  <si>
    <t>-4279,64</t>
  </si>
  <si>
    <t>Исполнение за 2015г, (тыс.руб.)</t>
  </si>
  <si>
    <t>3.14.</t>
  </si>
  <si>
    <t>+ 281,66</t>
  </si>
  <si>
    <t>+281,66</t>
  </si>
  <si>
    <t>к отчету об исполнении бюджета МО Войсковицкое сельское поселениеГатчинского муниципального района Ленинградской области за 2015 год  от  27.04.2016 г.№19</t>
  </si>
  <si>
    <r>
      <rPr>
        <b/>
        <sz val="10"/>
        <rFont val="Times New Roman"/>
        <family val="1"/>
        <charset val="204"/>
      </rPr>
      <t xml:space="preserve">Приложение № 7  </t>
    </r>
    <r>
      <rPr>
        <sz val="10"/>
        <rFont val="Times New Roman"/>
        <family val="1"/>
        <charset val="204"/>
      </rPr>
      <t xml:space="preserve">                                                                                  к отчету об исполнении бюджета МО Войсковицкое сельское поселениеГатчинского муниципального района Ленинградской области за 2015 год  от  27.04.2016 г.№19</t>
    </r>
  </si>
  <si>
    <r>
      <t xml:space="preserve">Приложение № 8                                                                    </t>
    </r>
    <r>
      <rPr>
        <sz val="10"/>
        <color rgb="FF000000"/>
        <rFont val="Times New Roman"/>
        <family val="1"/>
        <charset val="204"/>
      </rPr>
      <t>к отчету об исполнении бюджета МО Войсковицкое сельское поселениеГатчинского муниципального района Ленинградской области за 2015 год  от  27.04.2016 г.№19</t>
    </r>
  </si>
</sst>
</file>

<file path=xl/styles.xml><?xml version="1.0" encoding="utf-8"?>
<styleSheet xmlns="http://schemas.openxmlformats.org/spreadsheetml/2006/main">
  <numFmts count="15">
    <numFmt numFmtId="43" formatCode="_-* #,##0.00_р_._-;\-* #,##0.00_р_._-;_-* &quot;-&quot;??_р_._-;_-@_-"/>
    <numFmt numFmtId="164" formatCode="0.00000"/>
    <numFmt numFmtId="165" formatCode="_-* #,##0.00_р_._-;\-* #,##0.00_р_._-;_-* \-??_р_._-;_-@_-"/>
    <numFmt numFmtId="166" formatCode="0.0"/>
    <numFmt numFmtId="167" formatCode="_-* #,##0.000_р_._-;\-* #,##0.000_р_._-;_-* \-??_р_._-;_-@_-"/>
    <numFmt numFmtId="168" formatCode="_-* #,##0.00000_р_._-;\-* #,##0.00000_р_._-;_-* &quot;-&quot;???_р_._-;_-@_-"/>
    <numFmt numFmtId="169" formatCode="#,##0.00_ ;[Red]\-#,##0.00\ "/>
    <numFmt numFmtId="170" formatCode="_-* #,##0.00000_р_._-;\-* #,##0.00000_р_._-;_-* \-??_р_._-;_-@_-"/>
    <numFmt numFmtId="171" formatCode="0.0000"/>
    <numFmt numFmtId="172" formatCode="0.000000"/>
    <numFmt numFmtId="173" formatCode="#,##0.0000"/>
    <numFmt numFmtId="174" formatCode="#,##0.00000"/>
    <numFmt numFmtId="175" formatCode="#,##0.000"/>
    <numFmt numFmtId="176" formatCode="#,##0.000000"/>
    <numFmt numFmtId="177" formatCode="_-* #,##0.00000_р_._-;\-* #,##0.00000_р_._-;_-* &quot;-&quot;?????_р_._-;_-@_-"/>
  </numFmts>
  <fonts count="35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.5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Arial Cyr"/>
      <charset val="204"/>
    </font>
    <font>
      <b/>
      <sz val="10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theme="0" tint="-0.14999847407452621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15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theme="0" tint="-0.34998626667073579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2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3" fillId="0" borderId="0"/>
    <xf numFmtId="43" fontId="17" fillId="0" borderId="0" applyFont="0" applyFill="0" applyBorder="0" applyAlignment="0" applyProtection="0"/>
    <xf numFmtId="0" fontId="23" fillId="0" borderId="0"/>
  </cellStyleXfs>
  <cellXfs count="722">
    <xf numFmtId="0" fontId="0" fillId="0" borderId="0" xfId="0"/>
    <xf numFmtId="0" fontId="1" fillId="2" borderId="0" xfId="0" applyFont="1" applyFill="1"/>
    <xf numFmtId="0" fontId="3" fillId="2" borderId="0" xfId="0" applyFont="1" applyFill="1"/>
    <xf numFmtId="0" fontId="2" fillId="2" borderId="0" xfId="0" applyFont="1" applyFill="1" applyAlignment="1">
      <alignment horizontal="left"/>
    </xf>
    <xf numFmtId="0" fontId="5" fillId="2" borderId="0" xfId="0" applyFont="1" applyFill="1"/>
    <xf numFmtId="0" fontId="7" fillId="2" borderId="1" xfId="0" applyFont="1" applyFill="1" applyBorder="1" applyAlignment="1">
      <alignment horizontal="center" vertical="center" wrapText="1"/>
    </xf>
    <xf numFmtId="2" fontId="7" fillId="2" borderId="2" xfId="0" applyNumberFormat="1" applyFont="1" applyFill="1" applyBorder="1" applyAlignment="1">
      <alignment horizontal="center" vertical="center" wrapText="1"/>
    </xf>
    <xf numFmtId="2" fontId="7" fillId="2" borderId="3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/>
    </xf>
    <xf numFmtId="0" fontId="3" fillId="2" borderId="13" xfId="0" applyFont="1" applyFill="1" applyBorder="1"/>
    <xf numFmtId="0" fontId="3" fillId="2" borderId="14" xfId="0" applyFont="1" applyFill="1" applyBorder="1"/>
    <xf numFmtId="49" fontId="11" fillId="2" borderId="33" xfId="0" applyNumberFormat="1" applyFont="1" applyFill="1" applyBorder="1" applyAlignment="1">
      <alignment horizontal="left" vertical="center" wrapText="1"/>
    </xf>
    <xf numFmtId="49" fontId="11" fillId="2" borderId="8" xfId="0" applyNumberFormat="1" applyFont="1" applyFill="1" applyBorder="1" applyAlignment="1">
      <alignment horizontal="center" vertical="center" wrapText="1"/>
    </xf>
    <xf numFmtId="49" fontId="11" fillId="2" borderId="6" xfId="0" applyNumberFormat="1" applyFont="1" applyFill="1" applyBorder="1" applyAlignment="1">
      <alignment horizontal="center" vertical="center" wrapText="1"/>
    </xf>
    <xf numFmtId="4" fontId="11" fillId="2" borderId="34" xfId="0" applyNumberFormat="1" applyFont="1" applyFill="1" applyBorder="1" applyAlignment="1">
      <alignment horizontal="center" vertical="center" wrapText="1"/>
    </xf>
    <xf numFmtId="4" fontId="11" fillId="2" borderId="35" xfId="0" applyNumberFormat="1" applyFont="1" applyFill="1" applyBorder="1" applyAlignment="1">
      <alignment horizontal="center" vertical="center" wrapText="1"/>
    </xf>
    <xf numFmtId="49" fontId="11" fillId="2" borderId="36" xfId="0" applyNumberFormat="1" applyFont="1" applyFill="1" applyBorder="1" applyAlignment="1">
      <alignment horizontal="left" vertical="center" wrapText="1"/>
    </xf>
    <xf numFmtId="49" fontId="11" fillId="2" borderId="15" xfId="0" applyNumberFormat="1" applyFont="1" applyFill="1" applyBorder="1" applyAlignment="1">
      <alignment horizontal="center" vertical="center" wrapText="1"/>
    </xf>
    <xf numFmtId="49" fontId="11" fillId="2" borderId="37" xfId="0" applyNumberFormat="1" applyFont="1" applyFill="1" applyBorder="1" applyAlignment="1">
      <alignment horizontal="center" vertical="center" wrapText="1"/>
    </xf>
    <xf numFmtId="4" fontId="11" fillId="0" borderId="35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vertical="center"/>
    </xf>
    <xf numFmtId="4" fontId="11" fillId="0" borderId="39" xfId="0" applyNumberFormat="1" applyFont="1" applyFill="1" applyBorder="1" applyAlignment="1">
      <alignment horizontal="center" vertical="center" wrapText="1"/>
    </xf>
    <xf numFmtId="4" fontId="11" fillId="2" borderId="39" xfId="0" applyNumberFormat="1" applyFont="1" applyFill="1" applyBorder="1" applyAlignment="1">
      <alignment horizontal="center" vertical="center" wrapText="1"/>
    </xf>
    <xf numFmtId="0" fontId="12" fillId="2" borderId="13" xfId="0" applyFont="1" applyFill="1" applyBorder="1"/>
    <xf numFmtId="0" fontId="12" fillId="2" borderId="14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2" borderId="0" xfId="0" applyFont="1" applyFill="1" applyBorder="1"/>
    <xf numFmtId="2" fontId="3" fillId="2" borderId="13" xfId="0" applyNumberFormat="1" applyFont="1" applyFill="1" applyBorder="1" applyAlignment="1">
      <alignment wrapText="1"/>
    </xf>
    <xf numFmtId="49" fontId="11" fillId="2" borderId="8" xfId="0" applyNumberFormat="1" applyFont="1" applyFill="1" applyBorder="1" applyAlignment="1">
      <alignment horizontal="left" vertical="center" wrapText="1"/>
    </xf>
    <xf numFmtId="4" fontId="11" fillId="0" borderId="40" xfId="0" applyNumberFormat="1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vertical="center"/>
    </xf>
    <xf numFmtId="49" fontId="11" fillId="2" borderId="41" xfId="0" applyNumberFormat="1" applyFont="1" applyFill="1" applyBorder="1" applyAlignment="1">
      <alignment horizontal="left" vertical="center" wrapText="1"/>
    </xf>
    <xf numFmtId="49" fontId="11" fillId="2" borderId="42" xfId="0" applyNumberFormat="1" applyFont="1" applyFill="1" applyBorder="1" applyAlignment="1">
      <alignment horizontal="center" vertical="center" wrapText="1"/>
    </xf>
    <xf numFmtId="49" fontId="11" fillId="2" borderId="43" xfId="0" applyNumberFormat="1" applyFont="1" applyFill="1" applyBorder="1" applyAlignment="1">
      <alignment horizontal="center" vertical="center" wrapText="1"/>
    </xf>
    <xf numFmtId="2" fontId="3" fillId="2" borderId="44" xfId="0" applyNumberFormat="1" applyFont="1" applyFill="1" applyBorder="1"/>
    <xf numFmtId="0" fontId="12" fillId="2" borderId="13" xfId="0" applyFont="1" applyFill="1" applyBorder="1" applyAlignment="1">
      <alignment vertical="center"/>
    </xf>
    <xf numFmtId="4" fontId="11" fillId="0" borderId="34" xfId="0" applyNumberFormat="1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justify" vertical="center" wrapText="1"/>
    </xf>
    <xf numFmtId="49" fontId="11" fillId="0" borderId="6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vertical="center" wrapText="1"/>
    </xf>
    <xf numFmtId="4" fontId="11" fillId="0" borderId="38" xfId="0" applyNumberFormat="1" applyFont="1" applyFill="1" applyBorder="1" applyAlignment="1">
      <alignment horizontal="center" vertical="center" wrapText="1"/>
    </xf>
    <xf numFmtId="2" fontId="3" fillId="2" borderId="31" xfId="0" applyNumberFormat="1" applyFont="1" applyFill="1" applyBorder="1" applyAlignment="1">
      <alignment wrapText="1"/>
    </xf>
    <xf numFmtId="0" fontId="3" fillId="2" borderId="14" xfId="0" applyFont="1" applyFill="1" applyBorder="1" applyAlignment="1">
      <alignment horizontal="center" vertical="center"/>
    </xf>
    <xf numFmtId="49" fontId="11" fillId="2" borderId="29" xfId="0" applyNumberFormat="1" applyFont="1" applyFill="1" applyBorder="1" applyAlignment="1">
      <alignment horizontal="left" vertical="center" wrapText="1"/>
    </xf>
    <xf numFmtId="49" fontId="11" fillId="2" borderId="44" xfId="0" applyNumberFormat="1" applyFont="1" applyFill="1" applyBorder="1" applyAlignment="1">
      <alignment horizontal="center" vertical="center" wrapText="1"/>
    </xf>
    <xf numFmtId="49" fontId="11" fillId="2" borderId="13" xfId="0" applyNumberFormat="1" applyFont="1" applyFill="1" applyBorder="1" applyAlignment="1">
      <alignment horizontal="center" vertical="center" wrapText="1"/>
    </xf>
    <xf numFmtId="4" fontId="11" fillId="0" borderId="45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/>
    <xf numFmtId="0" fontId="3" fillId="2" borderId="45" xfId="0" applyFont="1" applyFill="1" applyBorder="1"/>
    <xf numFmtId="0" fontId="3" fillId="2" borderId="31" xfId="0" applyFont="1" applyFill="1" applyBorder="1"/>
    <xf numFmtId="0" fontId="3" fillId="2" borderId="32" xfId="0" applyFont="1" applyFill="1" applyBorder="1"/>
    <xf numFmtId="4" fontId="12" fillId="2" borderId="0" xfId="0" applyNumberFormat="1" applyFont="1" applyFill="1"/>
    <xf numFmtId="0" fontId="3" fillId="5" borderId="13" xfId="0" applyFont="1" applyFill="1" applyBorder="1"/>
    <xf numFmtId="0" fontId="3" fillId="5" borderId="14" xfId="0" applyFont="1" applyFill="1" applyBorder="1"/>
    <xf numFmtId="0" fontId="3" fillId="5" borderId="15" xfId="0" applyFont="1" applyFill="1" applyBorder="1"/>
    <xf numFmtId="0" fontId="3" fillId="6" borderId="13" xfId="0" applyFont="1" applyFill="1" applyBorder="1"/>
    <xf numFmtId="0" fontId="3" fillId="6" borderId="14" xfId="0" applyFont="1" applyFill="1" applyBorder="1"/>
    <xf numFmtId="0" fontId="3" fillId="7" borderId="13" xfId="0" applyFont="1" applyFill="1" applyBorder="1"/>
    <xf numFmtId="0" fontId="3" fillId="7" borderId="14" xfId="0" applyFont="1" applyFill="1" applyBorder="1"/>
    <xf numFmtId="0" fontId="3" fillId="8" borderId="13" xfId="0" applyFont="1" applyFill="1" applyBorder="1"/>
    <xf numFmtId="0" fontId="3" fillId="8" borderId="14" xfId="0" applyFont="1" applyFill="1" applyBorder="1"/>
    <xf numFmtId="49" fontId="10" fillId="8" borderId="33" xfId="0" applyNumberFormat="1" applyFont="1" applyFill="1" applyBorder="1" applyAlignment="1">
      <alignment horizontal="left" vertical="center" wrapText="1"/>
    </xf>
    <xf numFmtId="49" fontId="10" fillId="8" borderId="8" xfId="0" applyNumberFormat="1" applyFont="1" applyFill="1" applyBorder="1" applyAlignment="1">
      <alignment horizontal="center" vertical="center" wrapText="1"/>
    </xf>
    <xf numFmtId="49" fontId="10" fillId="8" borderId="6" xfId="0" applyNumberFormat="1" applyFont="1" applyFill="1" applyBorder="1" applyAlignment="1">
      <alignment horizontal="center" vertical="center" wrapText="1"/>
    </xf>
    <xf numFmtId="4" fontId="10" fillId="8" borderId="34" xfId="0" applyNumberFormat="1" applyFont="1" applyFill="1" applyBorder="1" applyAlignment="1">
      <alignment horizontal="center" vertical="center" wrapText="1"/>
    </xf>
    <xf numFmtId="4" fontId="8" fillId="6" borderId="11" xfId="0" applyNumberFormat="1" applyFont="1" applyFill="1" applyBorder="1" applyAlignment="1">
      <alignment horizontal="center" vertical="center" wrapText="1"/>
    </xf>
    <xf numFmtId="4" fontId="8" fillId="6" borderId="12" xfId="0" applyNumberFormat="1" applyFont="1" applyFill="1" applyBorder="1" applyAlignment="1">
      <alignment horizontal="center" vertical="center" wrapText="1"/>
    </xf>
    <xf numFmtId="0" fontId="3" fillId="6" borderId="0" xfId="0" applyFont="1" applyFill="1" applyBorder="1"/>
    <xf numFmtId="49" fontId="8" fillId="7" borderId="33" xfId="0" applyNumberFormat="1" applyFont="1" applyFill="1" applyBorder="1" applyAlignment="1">
      <alignment horizontal="left" vertical="center" wrapText="1"/>
    </xf>
    <xf numFmtId="49" fontId="8" fillId="7" borderId="8" xfId="0" applyNumberFormat="1" applyFont="1" applyFill="1" applyBorder="1" applyAlignment="1">
      <alignment horizontal="center" vertical="center" wrapText="1"/>
    </xf>
    <xf numFmtId="49" fontId="8" fillId="7" borderId="6" xfId="0" applyNumberFormat="1" applyFont="1" applyFill="1" applyBorder="1" applyAlignment="1">
      <alignment horizontal="center" vertical="center" wrapText="1"/>
    </xf>
    <xf numFmtId="4" fontId="8" fillId="7" borderId="34" xfId="0" applyNumberFormat="1" applyFont="1" applyFill="1" applyBorder="1" applyAlignment="1">
      <alignment horizontal="center" vertical="center" wrapText="1"/>
    </xf>
    <xf numFmtId="4" fontId="8" fillId="7" borderId="4" xfId="0" applyNumberFormat="1" applyFont="1" applyFill="1" applyBorder="1" applyAlignment="1">
      <alignment horizontal="center" vertical="center" wrapText="1"/>
    </xf>
    <xf numFmtId="49" fontId="10" fillId="9" borderId="33" xfId="0" applyNumberFormat="1" applyFont="1" applyFill="1" applyBorder="1" applyAlignment="1">
      <alignment horizontal="left" vertical="center" wrapText="1"/>
    </xf>
    <xf numFmtId="49" fontId="10" fillId="9" borderId="8" xfId="0" applyNumberFormat="1" applyFont="1" applyFill="1" applyBorder="1" applyAlignment="1">
      <alignment horizontal="center" vertical="center" wrapText="1"/>
    </xf>
    <xf numFmtId="49" fontId="10" fillId="9" borderId="6" xfId="0" applyNumberFormat="1" applyFont="1" applyFill="1" applyBorder="1" applyAlignment="1">
      <alignment horizontal="center" vertical="center" wrapText="1"/>
    </xf>
    <xf numFmtId="4" fontId="10" fillId="9" borderId="34" xfId="0" applyNumberFormat="1" applyFont="1" applyFill="1" applyBorder="1" applyAlignment="1">
      <alignment horizontal="center" vertical="center" wrapText="1"/>
    </xf>
    <xf numFmtId="4" fontId="10" fillId="9" borderId="35" xfId="0" applyNumberFormat="1" applyFont="1" applyFill="1" applyBorder="1" applyAlignment="1">
      <alignment horizontal="center" vertical="center" wrapText="1"/>
    </xf>
    <xf numFmtId="0" fontId="3" fillId="9" borderId="13" xfId="0" applyFont="1" applyFill="1" applyBorder="1"/>
    <xf numFmtId="0" fontId="3" fillId="9" borderId="14" xfId="0" applyFont="1" applyFill="1" applyBorder="1"/>
    <xf numFmtId="49" fontId="11" fillId="9" borderId="8" xfId="0" applyNumberFormat="1" applyFont="1" applyFill="1" applyBorder="1" applyAlignment="1">
      <alignment horizontal="center" vertical="center" wrapText="1"/>
    </xf>
    <xf numFmtId="0" fontId="3" fillId="9" borderId="13" xfId="0" applyFont="1" applyFill="1" applyBorder="1" applyAlignment="1">
      <alignment vertical="center"/>
    </xf>
    <xf numFmtId="0" fontId="12" fillId="9" borderId="14" xfId="0" applyFont="1" applyFill="1" applyBorder="1" applyAlignment="1">
      <alignment vertical="center"/>
    </xf>
    <xf numFmtId="0" fontId="12" fillId="9" borderId="0" xfId="0" applyFont="1" applyFill="1" applyBorder="1" applyAlignment="1">
      <alignment vertical="center"/>
    </xf>
    <xf numFmtId="0" fontId="3" fillId="9" borderId="0" xfId="0" applyFont="1" applyFill="1"/>
    <xf numFmtId="49" fontId="10" fillId="9" borderId="8" xfId="0" applyNumberFormat="1" applyFont="1" applyFill="1" applyBorder="1" applyAlignment="1">
      <alignment horizontal="left" vertical="center" wrapText="1"/>
    </xf>
    <xf numFmtId="49" fontId="10" fillId="9" borderId="30" xfId="0" applyNumberFormat="1" applyFont="1" applyFill="1" applyBorder="1" applyAlignment="1">
      <alignment horizontal="center" vertical="center" wrapText="1"/>
    </xf>
    <xf numFmtId="49" fontId="10" fillId="9" borderId="31" xfId="0" applyNumberFormat="1" applyFont="1" applyFill="1" applyBorder="1" applyAlignment="1">
      <alignment horizontal="center" vertical="center" wrapText="1"/>
    </xf>
    <xf numFmtId="4" fontId="10" fillId="9" borderId="32" xfId="0" applyNumberFormat="1" applyFont="1" applyFill="1" applyBorder="1" applyAlignment="1">
      <alignment horizontal="center" vertical="center" wrapText="1"/>
    </xf>
    <xf numFmtId="0" fontId="3" fillId="10" borderId="13" xfId="0" applyFont="1" applyFill="1" applyBorder="1"/>
    <xf numFmtId="0" fontId="3" fillId="10" borderId="14" xfId="0" applyFont="1" applyFill="1" applyBorder="1"/>
    <xf numFmtId="49" fontId="10" fillId="11" borderId="33" xfId="0" applyNumberFormat="1" applyFont="1" applyFill="1" applyBorder="1" applyAlignment="1">
      <alignment horizontal="left" vertical="center" wrapText="1"/>
    </xf>
    <xf numFmtId="49" fontId="10" fillId="11" borderId="8" xfId="0" applyNumberFormat="1" applyFont="1" applyFill="1" applyBorder="1" applyAlignment="1">
      <alignment horizontal="center" vertical="center" wrapText="1"/>
    </xf>
    <xf numFmtId="49" fontId="10" fillId="11" borderId="6" xfId="0" applyNumberFormat="1" applyFont="1" applyFill="1" applyBorder="1" applyAlignment="1">
      <alignment horizontal="center" vertical="center" wrapText="1"/>
    </xf>
    <xf numFmtId="0" fontId="3" fillId="11" borderId="13" xfId="0" applyFont="1" applyFill="1" applyBorder="1"/>
    <xf numFmtId="0" fontId="3" fillId="11" borderId="14" xfId="0" applyFont="1" applyFill="1" applyBorder="1"/>
    <xf numFmtId="4" fontId="15" fillId="10" borderId="11" xfId="0" applyNumberFormat="1" applyFont="1" applyFill="1" applyBorder="1" applyAlignment="1">
      <alignment horizontal="center" vertical="center" wrapText="1"/>
    </xf>
    <xf numFmtId="0" fontId="3" fillId="9" borderId="45" xfId="0" applyFont="1" applyFill="1" applyBorder="1"/>
    <xf numFmtId="0" fontId="3" fillId="2" borderId="0" xfId="0" applyFont="1" applyFill="1" applyAlignment="1"/>
    <xf numFmtId="0" fontId="3" fillId="0" borderId="0" xfId="0" applyFont="1"/>
    <xf numFmtId="0" fontId="6" fillId="2" borderId="0" xfId="0" applyFont="1" applyFill="1" applyAlignment="1"/>
    <xf numFmtId="0" fontId="3" fillId="2" borderId="0" xfId="0" applyFont="1" applyFill="1" applyAlignment="1">
      <alignment wrapText="1"/>
    </xf>
    <xf numFmtId="0" fontId="2" fillId="3" borderId="8" xfId="0" applyFont="1" applyFill="1" applyBorder="1" applyAlignment="1">
      <alignment horizontal="center" vertical="center" wrapText="1"/>
    </xf>
    <xf numFmtId="49" fontId="2" fillId="3" borderId="8" xfId="0" applyNumberFormat="1" applyFont="1" applyFill="1" applyBorder="1" applyAlignment="1">
      <alignment horizontal="center" vertical="center" wrapText="1"/>
    </xf>
    <xf numFmtId="2" fontId="2" fillId="3" borderId="8" xfId="0" applyNumberFormat="1" applyFont="1" applyFill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2" fontId="4" fillId="0" borderId="8" xfId="0" applyNumberFormat="1" applyFont="1" applyFill="1" applyBorder="1" applyAlignment="1">
      <alignment horizontal="center" wrapText="1"/>
    </xf>
    <xf numFmtId="2" fontId="2" fillId="0" borderId="8" xfId="0" applyNumberFormat="1" applyFont="1" applyFill="1" applyBorder="1" applyAlignment="1">
      <alignment horizontal="center" wrapText="1"/>
    </xf>
    <xf numFmtId="2" fontId="2" fillId="3" borderId="8" xfId="0" applyNumberFormat="1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left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vertical="center" wrapText="1"/>
    </xf>
    <xf numFmtId="2" fontId="0" fillId="0" borderId="0" xfId="0" applyNumberFormat="1"/>
    <xf numFmtId="2" fontId="3" fillId="0" borderId="0" xfId="0" applyNumberFormat="1" applyFont="1" applyAlignment="1">
      <alignment vertical="center"/>
    </xf>
    <xf numFmtId="2" fontId="18" fillId="0" borderId="49" xfId="0" applyNumberFormat="1" applyFont="1" applyBorder="1" applyAlignment="1">
      <alignment horizontal="center" vertical="center" wrapText="1"/>
    </xf>
    <xf numFmtId="2" fontId="18" fillId="0" borderId="49" xfId="0" applyNumberFormat="1" applyFont="1" applyBorder="1" applyAlignment="1">
      <alignment horizontal="center" vertical="center"/>
    </xf>
    <xf numFmtId="2" fontId="18" fillId="0" borderId="8" xfId="0" applyNumberFormat="1" applyFont="1" applyBorder="1" applyAlignment="1">
      <alignment horizontal="center" vertical="center" wrapText="1"/>
    </xf>
    <xf numFmtId="0" fontId="4" fillId="0" borderId="50" xfId="0" applyFont="1" applyBorder="1"/>
    <xf numFmtId="0" fontId="4" fillId="0" borderId="50" xfId="0" applyFont="1" applyBorder="1" applyAlignment="1">
      <alignment wrapText="1"/>
    </xf>
    <xf numFmtId="1" fontId="3" fillId="0" borderId="0" xfId="0" applyNumberFormat="1" applyFont="1" applyAlignment="1">
      <alignment vertical="center"/>
    </xf>
    <xf numFmtId="0" fontId="4" fillId="0" borderId="50" xfId="0" applyFont="1" applyBorder="1" applyAlignment="1">
      <alignment vertical="top"/>
    </xf>
    <xf numFmtId="0" fontId="4" fillId="0" borderId="50" xfId="0" applyFont="1" applyBorder="1" applyAlignment="1">
      <alignment vertical="top" wrapText="1"/>
    </xf>
    <xf numFmtId="0" fontId="4" fillId="0" borderId="51" xfId="0" applyFont="1" applyBorder="1" applyAlignment="1">
      <alignment wrapText="1"/>
    </xf>
    <xf numFmtId="165" fontId="18" fillId="2" borderId="8" xfId="0" applyNumberFormat="1" applyFont="1" applyFill="1" applyBorder="1" applyAlignment="1">
      <alignment horizontal="center"/>
    </xf>
    <xf numFmtId="2" fontId="18" fillId="0" borderId="50" xfId="0" applyNumberFormat="1" applyFont="1" applyBorder="1" applyAlignment="1">
      <alignment horizontal="center" vertical="center"/>
    </xf>
    <xf numFmtId="2" fontId="6" fillId="0" borderId="50" xfId="0" applyNumberFormat="1" applyFont="1" applyBorder="1" applyAlignment="1">
      <alignment horizontal="left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0" fontId="3" fillId="3" borderId="14" xfId="0" applyFont="1" applyFill="1" applyBorder="1"/>
    <xf numFmtId="4" fontId="3" fillId="2" borderId="0" xfId="0" applyNumberFormat="1" applyFont="1" applyFill="1"/>
    <xf numFmtId="49" fontId="18" fillId="2" borderId="0" xfId="0" applyNumberFormat="1" applyFont="1" applyFill="1" applyAlignment="1">
      <alignment vertical="center" wrapText="1"/>
    </xf>
    <xf numFmtId="49" fontId="3" fillId="2" borderId="0" xfId="0" applyNumberFormat="1" applyFont="1" applyFill="1" applyAlignment="1">
      <alignment horizontal="left" vertical="center" wrapText="1"/>
    </xf>
    <xf numFmtId="49" fontId="3" fillId="2" borderId="0" xfId="0" applyNumberFormat="1" applyFont="1" applyFill="1" applyAlignment="1" applyProtection="1">
      <alignment vertical="center" wrapText="1"/>
      <protection locked="0"/>
    </xf>
    <xf numFmtId="49" fontId="3" fillId="2" borderId="0" xfId="0" applyNumberFormat="1" applyFont="1" applyFill="1" applyAlignment="1">
      <alignment vertical="center" wrapText="1"/>
    </xf>
    <xf numFmtId="49" fontId="18" fillId="2" borderId="8" xfId="0" applyNumberFormat="1" applyFont="1" applyFill="1" applyBorder="1" applyAlignment="1">
      <alignment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166" fontId="6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8" xfId="3" applyFont="1" applyFill="1" applyBorder="1" applyAlignment="1">
      <alignment horizontal="center" vertical="center"/>
    </xf>
    <xf numFmtId="0" fontId="6" fillId="2" borderId="8" xfId="3" applyFont="1" applyFill="1" applyBorder="1" applyAlignment="1">
      <alignment vertical="center" wrapText="1"/>
    </xf>
    <xf numFmtId="49" fontId="6" fillId="2" borderId="8" xfId="3" applyNumberFormat="1" applyFont="1" applyFill="1" applyBorder="1" applyAlignment="1">
      <alignment horizontal="center" vertical="center" wrapText="1"/>
    </xf>
    <xf numFmtId="0" fontId="6" fillId="2" borderId="8" xfId="3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0" xfId="0" applyNumberFormat="1" applyFont="1" applyFill="1" applyAlignment="1" applyProtection="1">
      <alignment horizontal="center" vertical="center" wrapText="1"/>
      <protection locked="0"/>
    </xf>
    <xf numFmtId="0" fontId="18" fillId="2" borderId="8" xfId="3" applyFont="1" applyFill="1" applyBorder="1" applyAlignment="1">
      <alignment horizontal="center" vertical="center"/>
    </xf>
    <xf numFmtId="0" fontId="18" fillId="2" borderId="8" xfId="3" applyFont="1" applyFill="1" applyBorder="1" applyAlignment="1">
      <alignment vertical="center" wrapText="1"/>
    </xf>
    <xf numFmtId="49" fontId="18" fillId="2" borderId="8" xfId="3" applyNumberFormat="1" applyFont="1" applyFill="1" applyBorder="1" applyAlignment="1">
      <alignment horizontal="center" vertical="center" wrapText="1"/>
    </xf>
    <xf numFmtId="0" fontId="18" fillId="2" borderId="8" xfId="3" applyFont="1" applyFill="1" applyBorder="1" applyAlignment="1">
      <alignment horizontal="center" vertical="center" wrapText="1"/>
    </xf>
    <xf numFmtId="2" fontId="3" fillId="0" borderId="0" xfId="0" applyNumberFormat="1" applyFont="1" applyFill="1" applyAlignment="1" applyProtection="1">
      <alignment horizontal="center" vertical="center" wrapText="1"/>
      <protection locked="0"/>
    </xf>
    <xf numFmtId="49" fontId="3" fillId="2" borderId="8" xfId="3" applyNumberFormat="1" applyFont="1" applyFill="1" applyBorder="1" applyAlignment="1">
      <alignment horizontal="center" vertical="center"/>
    </xf>
    <xf numFmtId="0" fontId="18" fillId="0" borderId="8" xfId="3" applyFont="1" applyFill="1" applyBorder="1" applyAlignment="1">
      <alignment vertical="center" wrapText="1"/>
    </xf>
    <xf numFmtId="49" fontId="18" fillId="0" borderId="8" xfId="3" applyNumberFormat="1" applyFont="1" applyFill="1" applyBorder="1" applyAlignment="1">
      <alignment horizontal="center" vertical="center" wrapText="1"/>
    </xf>
    <xf numFmtId="0" fontId="18" fillId="0" borderId="8" xfId="3" applyFont="1" applyFill="1" applyBorder="1" applyAlignment="1">
      <alignment horizontal="center" vertical="center" wrapText="1"/>
    </xf>
    <xf numFmtId="2" fontId="3" fillId="2" borderId="8" xfId="3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8" fillId="2" borderId="8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8" xfId="0" applyNumberFormat="1" applyFont="1" applyFill="1" applyBorder="1" applyAlignment="1">
      <alignment horizontal="left" vertical="center" wrapText="1"/>
    </xf>
    <xf numFmtId="2" fontId="6" fillId="2" borderId="8" xfId="2" applyNumberFormat="1" applyFont="1" applyFill="1" applyBorder="1" applyAlignment="1" applyProtection="1">
      <alignment horizontal="center" vertical="center" wrapText="1"/>
      <protection locked="0"/>
    </xf>
    <xf numFmtId="2" fontId="6" fillId="2" borderId="6" xfId="2" applyNumberFormat="1" applyFont="1" applyFill="1" applyBorder="1" applyAlignment="1" applyProtection="1">
      <alignment horizontal="center" vertical="center" wrapText="1"/>
      <protection locked="0"/>
    </xf>
    <xf numFmtId="49" fontId="3" fillId="2" borderId="0" xfId="0" applyNumberFormat="1" applyFont="1" applyFill="1" applyAlignment="1" applyProtection="1">
      <alignment horizontal="left" vertical="center" wrapText="1"/>
      <protection locked="0"/>
    </xf>
    <xf numFmtId="166" fontId="3" fillId="2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/>
    <xf numFmtId="0" fontId="0" fillId="2" borderId="0" xfId="0" applyFill="1" applyAlignment="1">
      <alignment horizontal="right"/>
    </xf>
    <xf numFmtId="0" fontId="3" fillId="2" borderId="8" xfId="0" applyFont="1" applyFill="1" applyBorder="1"/>
    <xf numFmtId="0" fontId="7" fillId="2" borderId="8" xfId="0" applyFont="1" applyFill="1" applyBorder="1" applyAlignment="1">
      <alignment vertical="top" wrapText="1"/>
    </xf>
    <xf numFmtId="0" fontId="3" fillId="2" borderId="8" xfId="0" applyNumberFormat="1" applyFont="1" applyFill="1" applyBorder="1" applyAlignment="1">
      <alignment horizontal="center" vertical="center" wrapText="1"/>
    </xf>
    <xf numFmtId="43" fontId="3" fillId="2" borderId="8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top" wrapText="1"/>
    </xf>
    <xf numFmtId="0" fontId="3" fillId="2" borderId="0" xfId="0" applyNumberFormat="1" applyFont="1" applyFill="1" applyBorder="1" applyAlignment="1">
      <alignment wrapText="1"/>
    </xf>
    <xf numFmtId="43" fontId="3" fillId="2" borderId="0" xfId="0" applyNumberFormat="1" applyFont="1" applyFill="1" applyBorder="1" applyAlignment="1"/>
    <xf numFmtId="0" fontId="7" fillId="2" borderId="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top" wrapText="1"/>
    </xf>
    <xf numFmtId="43" fontId="7" fillId="2" borderId="8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/>
    <xf numFmtId="0" fontId="3" fillId="2" borderId="30" xfId="0" applyFont="1" applyFill="1" applyBorder="1" applyAlignment="1">
      <alignment vertical="top" wrapText="1"/>
    </xf>
    <xf numFmtId="0" fontId="3" fillId="2" borderId="30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Alignment="1">
      <alignment horizontal="center"/>
    </xf>
    <xf numFmtId="0" fontId="26" fillId="0" borderId="0" xfId="0" applyFont="1"/>
    <xf numFmtId="0" fontId="26" fillId="0" borderId="8" xfId="0" applyFont="1" applyBorder="1"/>
    <xf numFmtId="0" fontId="0" fillId="0" borderId="8" xfId="0" applyBorder="1"/>
    <xf numFmtId="0" fontId="15" fillId="0" borderId="8" xfId="0" applyFont="1" applyBorder="1" applyAlignment="1">
      <alignment horizontal="justify"/>
    </xf>
    <xf numFmtId="0" fontId="26" fillId="0" borderId="8" xfId="0" applyFont="1" applyBorder="1" applyAlignment="1">
      <alignment horizontal="center" vertical="center" wrapText="1"/>
    </xf>
    <xf numFmtId="0" fontId="26" fillId="0" borderId="8" xfId="0" applyFont="1" applyBorder="1" applyAlignment="1">
      <alignment vertical="center" wrapText="1"/>
    </xf>
    <xf numFmtId="0" fontId="0" fillId="0" borderId="8" xfId="0" applyBorder="1" applyAlignment="1">
      <alignment horizontal="center"/>
    </xf>
    <xf numFmtId="0" fontId="24" fillId="0" borderId="0" xfId="0" applyFont="1" applyAlignment="1">
      <alignment horizontal="center" wrapText="1"/>
    </xf>
    <xf numFmtId="0" fontId="15" fillId="0" borderId="0" xfId="0" applyFont="1" applyAlignment="1">
      <alignment wrapText="1"/>
    </xf>
    <xf numFmtId="0" fontId="11" fillId="0" borderId="0" xfId="0" applyFont="1" applyAlignment="1"/>
    <xf numFmtId="0" fontId="0" fillId="0" borderId="8" xfId="0" applyBorder="1" applyAlignment="1">
      <alignment vertical="center" wrapText="1"/>
    </xf>
    <xf numFmtId="49" fontId="15" fillId="0" borderId="8" xfId="0" applyNumberFormat="1" applyFont="1" applyBorder="1" applyAlignment="1">
      <alignment horizontal="center" vertical="center" wrapText="1"/>
    </xf>
    <xf numFmtId="0" fontId="15" fillId="0" borderId="8" xfId="0" applyFont="1" applyBorder="1" applyAlignment="1">
      <alignment vertical="center" wrapText="1"/>
    </xf>
    <xf numFmtId="0" fontId="0" fillId="0" borderId="8" xfId="0" applyBorder="1" applyAlignment="1">
      <alignment horizontal="center" vertical="center" wrapText="1"/>
    </xf>
    <xf numFmtId="0" fontId="3" fillId="0" borderId="0" xfId="0" applyFont="1" applyAlignment="1">
      <alignment horizontal="right" vertical="distributed" wrapText="1"/>
    </xf>
    <xf numFmtId="0" fontId="27" fillId="0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vertical="top"/>
    </xf>
    <xf numFmtId="0" fontId="7" fillId="0" borderId="8" xfId="0" applyFont="1" applyBorder="1" applyAlignment="1">
      <alignment vertical="top"/>
    </xf>
    <xf numFmtId="0" fontId="4" fillId="0" borderId="8" xfId="0" applyFont="1" applyBorder="1" applyAlignment="1">
      <alignment vertical="top" wrapText="1"/>
    </xf>
    <xf numFmtId="49" fontId="4" fillId="0" borderId="8" xfId="0" applyNumberFormat="1" applyFont="1" applyBorder="1" applyAlignment="1">
      <alignment vertical="top"/>
    </xf>
    <xf numFmtId="49" fontId="4" fillId="0" borderId="8" xfId="0" applyNumberFormat="1" applyFont="1" applyBorder="1" applyAlignment="1">
      <alignment vertical="top" wrapText="1"/>
    </xf>
    <xf numFmtId="0" fontId="0" fillId="0" borderId="0" xfId="0" applyFill="1" applyAlignment="1">
      <alignment horizontal="center" vertical="center"/>
    </xf>
    <xf numFmtId="165" fontId="18" fillId="0" borderId="8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vertical="top"/>
    </xf>
    <xf numFmtId="165" fontId="18" fillId="0" borderId="50" xfId="0" applyNumberFormat="1" applyFont="1" applyFill="1" applyBorder="1" applyAlignment="1">
      <alignment horizontal="center" vertical="center"/>
    </xf>
    <xf numFmtId="165" fontId="6" fillId="3" borderId="8" xfId="0" applyNumberFormat="1" applyFont="1" applyFill="1" applyBorder="1" applyAlignment="1">
      <alignment vertical="top"/>
    </xf>
    <xf numFmtId="168" fontId="0" fillId="0" borderId="0" xfId="0" applyNumberFormat="1"/>
    <xf numFmtId="43" fontId="0" fillId="0" borderId="0" xfId="0" applyNumberFormat="1"/>
    <xf numFmtId="49" fontId="2" fillId="0" borderId="8" xfId="0" applyNumberFormat="1" applyFont="1" applyBorder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43" fontId="0" fillId="0" borderId="0" xfId="0" applyNumberFormat="1" applyAlignment="1">
      <alignment horizontal="center" vertical="center"/>
    </xf>
    <xf numFmtId="2" fontId="4" fillId="0" borderId="8" xfId="0" applyNumberFormat="1" applyFont="1" applyFill="1" applyBorder="1" applyAlignment="1">
      <alignment horizontal="center" vertical="center" wrapText="1"/>
    </xf>
    <xf numFmtId="164" fontId="2" fillId="3" borderId="8" xfId="0" applyNumberFormat="1" applyFont="1" applyFill="1" applyBorder="1" applyAlignment="1">
      <alignment horizontal="center" vertical="center" wrapText="1"/>
    </xf>
    <xf numFmtId="164" fontId="20" fillId="0" borderId="0" xfId="0" applyNumberFormat="1" applyFont="1"/>
    <xf numFmtId="0" fontId="8" fillId="10" borderId="16" xfId="0" applyFont="1" applyFill="1" applyBorder="1" applyAlignment="1">
      <alignment horizontal="left" vertical="center" wrapText="1"/>
    </xf>
    <xf numFmtId="0" fontId="8" fillId="10" borderId="17" xfId="0" applyFont="1" applyFill="1" applyBorder="1" applyAlignment="1">
      <alignment horizontal="center" vertical="center" wrapText="1"/>
    </xf>
    <xf numFmtId="0" fontId="9" fillId="10" borderId="17" xfId="0" applyFont="1" applyFill="1" applyBorder="1" applyAlignment="1">
      <alignment horizontal="center" vertical="center" wrapText="1"/>
    </xf>
    <xf numFmtId="49" fontId="9" fillId="10" borderId="18" xfId="0" applyNumberFormat="1" applyFont="1" applyFill="1" applyBorder="1" applyAlignment="1">
      <alignment horizontal="center" vertical="center" wrapText="1"/>
    </xf>
    <xf numFmtId="4" fontId="8" fillId="10" borderId="12" xfId="0" applyNumberFormat="1" applyFont="1" applyFill="1" applyBorder="1" applyAlignment="1">
      <alignment horizontal="center" vertical="center"/>
    </xf>
    <xf numFmtId="0" fontId="8" fillId="13" borderId="16" xfId="0" applyFont="1" applyFill="1" applyBorder="1" applyAlignment="1">
      <alignment horizontal="left" vertical="center" wrapText="1"/>
    </xf>
    <xf numFmtId="0" fontId="8" fillId="13" borderId="17" xfId="0" applyFont="1" applyFill="1" applyBorder="1" applyAlignment="1">
      <alignment horizontal="center" vertical="center" wrapText="1"/>
    </xf>
    <xf numFmtId="0" fontId="9" fillId="13" borderId="17" xfId="0" applyFont="1" applyFill="1" applyBorder="1" applyAlignment="1">
      <alignment horizontal="center" vertical="center" wrapText="1"/>
    </xf>
    <xf numFmtId="49" fontId="9" fillId="13" borderId="18" xfId="0" applyNumberFormat="1" applyFont="1" applyFill="1" applyBorder="1" applyAlignment="1">
      <alignment horizontal="center" vertical="center" wrapText="1"/>
    </xf>
    <xf numFmtId="4" fontId="8" fillId="13" borderId="12" xfId="0" applyNumberFormat="1" applyFont="1" applyFill="1" applyBorder="1" applyAlignment="1">
      <alignment horizontal="center" vertical="center"/>
    </xf>
    <xf numFmtId="0" fontId="3" fillId="13" borderId="13" xfId="0" applyFont="1" applyFill="1" applyBorder="1"/>
    <xf numFmtId="0" fontId="3" fillId="13" borderId="14" xfId="0" applyFont="1" applyFill="1" applyBorder="1"/>
    <xf numFmtId="0" fontId="8" fillId="3" borderId="19" xfId="0" applyFont="1" applyFill="1" applyBorder="1" applyAlignment="1">
      <alignment horizontal="left" vertical="center" wrapText="1"/>
    </xf>
    <xf numFmtId="0" fontId="3" fillId="3" borderId="13" xfId="0" applyFont="1" applyFill="1" applyBorder="1"/>
    <xf numFmtId="49" fontId="10" fillId="3" borderId="24" xfId="0" applyNumberFormat="1" applyFont="1" applyFill="1" applyBorder="1" applyAlignment="1">
      <alignment horizontal="left" vertical="center" wrapText="1"/>
    </xf>
    <xf numFmtId="49" fontId="7" fillId="3" borderId="24" xfId="0" applyNumberFormat="1" applyFont="1" applyFill="1" applyBorder="1" applyAlignment="1">
      <alignment horizontal="left" vertical="center" wrapText="1"/>
    </xf>
    <xf numFmtId="0" fontId="3" fillId="14" borderId="13" xfId="0" applyFont="1" applyFill="1" applyBorder="1"/>
    <xf numFmtId="0" fontId="3" fillId="14" borderId="14" xfId="0" applyFont="1" applyFill="1" applyBorder="1"/>
    <xf numFmtId="0" fontId="3" fillId="14" borderId="0" xfId="0" applyFont="1" applyFill="1" applyBorder="1"/>
    <xf numFmtId="0" fontId="8" fillId="6" borderId="16" xfId="0" applyFont="1" applyFill="1" applyBorder="1" applyAlignment="1">
      <alignment wrapText="1"/>
    </xf>
    <xf numFmtId="0" fontId="8" fillId="6" borderId="17" xfId="0" applyFont="1" applyFill="1" applyBorder="1"/>
    <xf numFmtId="0" fontId="8" fillId="6" borderId="18" xfId="0" applyFont="1" applyFill="1" applyBorder="1"/>
    <xf numFmtId="0" fontId="3" fillId="15" borderId="13" xfId="0" applyFont="1" applyFill="1" applyBorder="1"/>
    <xf numFmtId="0" fontId="3" fillId="15" borderId="14" xfId="0" applyFont="1" applyFill="1" applyBorder="1"/>
    <xf numFmtId="49" fontId="10" fillId="11" borderId="29" xfId="0" applyNumberFormat="1" applyFont="1" applyFill="1" applyBorder="1" applyAlignment="1">
      <alignment horizontal="left" vertical="center" wrapText="1"/>
    </xf>
    <xf numFmtId="49" fontId="10" fillId="11" borderId="30" xfId="0" applyNumberFormat="1" applyFont="1" applyFill="1" applyBorder="1" applyAlignment="1">
      <alignment horizontal="center" vertical="center" wrapText="1"/>
    </xf>
    <xf numFmtId="49" fontId="10" fillId="11" borderId="31" xfId="0" applyNumberFormat="1" applyFont="1" applyFill="1" applyBorder="1" applyAlignment="1">
      <alignment horizontal="center" vertical="center" wrapText="1"/>
    </xf>
    <xf numFmtId="4" fontId="10" fillId="11" borderId="32" xfId="0" applyNumberFormat="1" applyFont="1" applyFill="1" applyBorder="1" applyAlignment="1">
      <alignment horizontal="center" vertical="center" wrapText="1"/>
    </xf>
    <xf numFmtId="4" fontId="10" fillId="11" borderId="35" xfId="0" applyNumberFormat="1" applyFont="1" applyFill="1" applyBorder="1" applyAlignment="1">
      <alignment horizontal="center" vertical="center" wrapText="1"/>
    </xf>
    <xf numFmtId="49" fontId="10" fillId="11" borderId="1" xfId="0" applyNumberFormat="1" applyFont="1" applyFill="1" applyBorder="1" applyAlignment="1">
      <alignment horizontal="left" vertical="center" wrapText="1"/>
    </xf>
    <xf numFmtId="49" fontId="10" fillId="11" borderId="2" xfId="0" applyNumberFormat="1" applyFont="1" applyFill="1" applyBorder="1" applyAlignment="1">
      <alignment horizontal="center" vertical="center" wrapText="1"/>
    </xf>
    <xf numFmtId="49" fontId="10" fillId="11" borderId="3" xfId="0" applyNumberFormat="1" applyFont="1" applyFill="1" applyBorder="1" applyAlignment="1">
      <alignment horizontal="center" vertical="center" wrapText="1"/>
    </xf>
    <xf numFmtId="4" fontId="10" fillId="11" borderId="5" xfId="0" applyNumberFormat="1" applyFont="1" applyFill="1" applyBorder="1" applyAlignment="1">
      <alignment horizontal="center" vertical="center" wrapText="1"/>
    </xf>
    <xf numFmtId="0" fontId="3" fillId="11" borderId="14" xfId="0" applyFont="1" applyFill="1" applyBorder="1" applyAlignment="1">
      <alignment vertical="center"/>
    </xf>
    <xf numFmtId="49" fontId="10" fillId="15" borderId="33" xfId="0" applyNumberFormat="1" applyFont="1" applyFill="1" applyBorder="1" applyAlignment="1">
      <alignment horizontal="left" vertical="center" wrapText="1"/>
    </xf>
    <xf numFmtId="49" fontId="10" fillId="15" borderId="8" xfId="0" applyNumberFormat="1" applyFont="1" applyFill="1" applyBorder="1" applyAlignment="1">
      <alignment horizontal="center" vertical="center" wrapText="1"/>
    </xf>
    <xf numFmtId="49" fontId="10" fillId="15" borderId="6" xfId="0" applyNumberFormat="1" applyFont="1" applyFill="1" applyBorder="1" applyAlignment="1">
      <alignment horizontal="center" vertical="center" wrapText="1"/>
    </xf>
    <xf numFmtId="4" fontId="10" fillId="15" borderId="34" xfId="0" applyNumberFormat="1" applyFont="1" applyFill="1" applyBorder="1" applyAlignment="1">
      <alignment horizontal="center" vertical="center" wrapText="1"/>
    </xf>
    <xf numFmtId="49" fontId="7" fillId="15" borderId="33" xfId="0" applyNumberFormat="1" applyFont="1" applyFill="1" applyBorder="1" applyAlignment="1">
      <alignment horizontal="left" vertical="center" wrapText="1"/>
    </xf>
    <xf numFmtId="49" fontId="7" fillId="15" borderId="8" xfId="0" applyNumberFormat="1" applyFont="1" applyFill="1" applyBorder="1" applyAlignment="1">
      <alignment horizontal="center" vertical="center" wrapText="1"/>
    </xf>
    <xf numFmtId="49" fontId="7" fillId="15" borderId="6" xfId="0" applyNumberFormat="1" applyFont="1" applyFill="1" applyBorder="1" applyAlignment="1">
      <alignment horizontal="center" vertical="center" wrapText="1"/>
    </xf>
    <xf numFmtId="4" fontId="7" fillId="15" borderId="34" xfId="0" applyNumberFormat="1" applyFont="1" applyFill="1" applyBorder="1" applyAlignment="1">
      <alignment horizontal="center" vertical="center" wrapText="1"/>
    </xf>
    <xf numFmtId="0" fontId="3" fillId="15" borderId="14" xfId="0" applyFont="1" applyFill="1" applyBorder="1" applyAlignment="1">
      <alignment vertical="center"/>
    </xf>
    <xf numFmtId="0" fontId="3" fillId="15" borderId="0" xfId="0" applyFont="1" applyFill="1"/>
    <xf numFmtId="0" fontId="14" fillId="15" borderId="8" xfId="1" applyFont="1" applyFill="1" applyBorder="1" applyAlignment="1">
      <alignment horizontal="left" vertical="center" wrapText="1"/>
    </xf>
    <xf numFmtId="0" fontId="12" fillId="15" borderId="13" xfId="0" applyFont="1" applyFill="1" applyBorder="1" applyAlignment="1">
      <alignment vertical="center"/>
    </xf>
    <xf numFmtId="0" fontId="3" fillId="11" borderId="0" xfId="0" applyFont="1" applyFill="1"/>
    <xf numFmtId="4" fontId="10" fillId="11" borderId="4" xfId="0" applyNumberFormat="1" applyFont="1" applyFill="1" applyBorder="1" applyAlignment="1">
      <alignment horizontal="center" vertical="center" wrapText="1"/>
    </xf>
    <xf numFmtId="0" fontId="3" fillId="11" borderId="0" xfId="0" applyFont="1" applyFill="1" applyBorder="1"/>
    <xf numFmtId="0" fontId="3" fillId="11" borderId="45" xfId="0" applyFont="1" applyFill="1" applyBorder="1"/>
    <xf numFmtId="49" fontId="15" fillId="7" borderId="33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vertical="distributed" wrapText="1"/>
    </xf>
    <xf numFmtId="2" fontId="3" fillId="2" borderId="0" xfId="0" applyNumberFormat="1" applyFont="1" applyFill="1" applyAlignment="1" applyProtection="1">
      <alignment vertical="center" wrapText="1"/>
      <protection locked="0"/>
    </xf>
    <xf numFmtId="4" fontId="3" fillId="2" borderId="0" xfId="0" applyNumberFormat="1" applyFont="1" applyFill="1" applyAlignment="1">
      <alignment vertical="center"/>
    </xf>
    <xf numFmtId="169" fontId="3" fillId="2" borderId="0" xfId="0" applyNumberFormat="1" applyFont="1" applyFill="1" applyAlignment="1">
      <alignment vertical="center"/>
    </xf>
    <xf numFmtId="0" fontId="7" fillId="2" borderId="19" xfId="0" applyFont="1" applyFill="1" applyBorder="1" applyAlignment="1">
      <alignment horizontal="center" vertical="center" wrapText="1"/>
    </xf>
    <xf numFmtId="2" fontId="16" fillId="2" borderId="20" xfId="0" applyNumberFormat="1" applyFont="1" applyFill="1" applyBorder="1" applyAlignment="1">
      <alignment horizontal="center" vertical="center" wrapText="1"/>
    </xf>
    <xf numFmtId="2" fontId="16" fillId="2" borderId="23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/>
    <xf numFmtId="0" fontId="8" fillId="5" borderId="1" xfId="0" applyFont="1" applyFill="1" applyBorder="1" applyAlignment="1">
      <alignment horizontal="left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49" fontId="9" fillId="5" borderId="2" xfId="0" applyNumberFormat="1" applyFont="1" applyFill="1" applyBorder="1" applyAlignment="1">
      <alignment horizontal="center" vertical="center" wrapText="1"/>
    </xf>
    <xf numFmtId="4" fontId="8" fillId="5" borderId="5" xfId="0" applyNumberFormat="1" applyFont="1" applyFill="1" applyBorder="1" applyAlignment="1">
      <alignment horizontal="center" vertical="center"/>
    </xf>
    <xf numFmtId="0" fontId="8" fillId="16" borderId="36" xfId="0" applyFont="1" applyFill="1" applyBorder="1" applyAlignment="1">
      <alignment horizontal="left" vertical="center" wrapText="1"/>
    </xf>
    <xf numFmtId="0" fontId="8" fillId="16" borderId="15" xfId="0" applyFont="1" applyFill="1" applyBorder="1" applyAlignment="1">
      <alignment horizontal="center" vertical="center" wrapText="1"/>
    </xf>
    <xf numFmtId="0" fontId="9" fillId="16" borderId="15" xfId="0" applyFont="1" applyFill="1" applyBorder="1" applyAlignment="1">
      <alignment horizontal="center" vertical="center" wrapText="1"/>
    </xf>
    <xf numFmtId="49" fontId="9" fillId="16" borderId="15" xfId="0" applyNumberFormat="1" applyFont="1" applyFill="1" applyBorder="1" applyAlignment="1">
      <alignment horizontal="center" vertical="center" wrapText="1"/>
    </xf>
    <xf numFmtId="4" fontId="8" fillId="16" borderId="39" xfId="0" applyNumberFormat="1" applyFont="1" applyFill="1" applyBorder="1" applyAlignment="1">
      <alignment horizontal="center" vertical="center"/>
    </xf>
    <xf numFmtId="4" fontId="3" fillId="2" borderId="13" xfId="0" applyNumberFormat="1" applyFont="1" applyFill="1" applyBorder="1"/>
    <xf numFmtId="49" fontId="10" fillId="0" borderId="29" xfId="0" applyNumberFormat="1" applyFont="1" applyFill="1" applyBorder="1" applyAlignment="1">
      <alignment horizontal="left" vertical="center" wrapText="1"/>
    </xf>
    <xf numFmtId="49" fontId="10" fillId="0" borderId="30" xfId="0" applyNumberFormat="1" applyFont="1" applyFill="1" applyBorder="1" applyAlignment="1">
      <alignment horizontal="center" vertical="center" wrapText="1"/>
    </xf>
    <xf numFmtId="4" fontId="10" fillId="0" borderId="32" xfId="0" applyNumberFormat="1" applyFont="1" applyFill="1" applyBorder="1" applyAlignment="1">
      <alignment horizontal="center" vertical="center" wrapText="1"/>
    </xf>
    <xf numFmtId="49" fontId="10" fillId="0" borderId="33" xfId="0" applyNumberFormat="1" applyFont="1" applyFill="1" applyBorder="1" applyAlignment="1">
      <alignment horizontal="left" vertical="center" wrapText="1"/>
    </xf>
    <xf numFmtId="49" fontId="10" fillId="0" borderId="8" xfId="0" applyNumberFormat="1" applyFont="1" applyFill="1" applyBorder="1" applyAlignment="1">
      <alignment horizontal="center" vertical="center" wrapText="1"/>
    </xf>
    <xf numFmtId="4" fontId="10" fillId="0" borderId="35" xfId="0" applyNumberFormat="1" applyFont="1" applyFill="1" applyBorder="1" applyAlignment="1">
      <alignment horizontal="center" vertical="center" wrapText="1"/>
    </xf>
    <xf numFmtId="49" fontId="10" fillId="2" borderId="33" xfId="0" applyNumberFormat="1" applyFont="1" applyFill="1" applyBorder="1" applyAlignment="1">
      <alignment horizontal="left" vertical="center" wrapText="1"/>
    </xf>
    <xf numFmtId="49" fontId="10" fillId="2" borderId="8" xfId="0" applyNumberFormat="1" applyFont="1" applyFill="1" applyBorder="1" applyAlignment="1">
      <alignment horizontal="center" vertical="center" wrapText="1"/>
    </xf>
    <xf numFmtId="4" fontId="10" fillId="2" borderId="35" xfId="0" applyNumberFormat="1" applyFont="1" applyFill="1" applyBorder="1" applyAlignment="1">
      <alignment horizontal="center" vertical="center" wrapText="1"/>
    </xf>
    <xf numFmtId="49" fontId="10" fillId="2" borderId="29" xfId="0" applyNumberFormat="1" applyFont="1" applyFill="1" applyBorder="1" applyAlignment="1">
      <alignment horizontal="left" vertical="center" wrapText="1"/>
    </xf>
    <xf numFmtId="49" fontId="10" fillId="2" borderId="30" xfId="0" applyNumberFormat="1" applyFont="1" applyFill="1" applyBorder="1" applyAlignment="1">
      <alignment horizontal="center" vertical="center" wrapText="1"/>
    </xf>
    <xf numFmtId="4" fontId="10" fillId="2" borderId="32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/>
    <xf numFmtId="0" fontId="12" fillId="0" borderId="14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4" fontId="3" fillId="3" borderId="0" xfId="0" applyNumberFormat="1" applyFont="1" applyFill="1" applyAlignment="1">
      <alignment vertical="center"/>
    </xf>
    <xf numFmtId="169" fontId="3" fillId="3" borderId="0" xfId="0" applyNumberFormat="1" applyFont="1" applyFill="1" applyAlignment="1">
      <alignment vertical="center"/>
    </xf>
    <xf numFmtId="0" fontId="3" fillId="0" borderId="0" xfId="0" applyFont="1" applyFill="1"/>
    <xf numFmtId="0" fontId="12" fillId="0" borderId="13" xfId="0" applyFont="1" applyFill="1" applyBorder="1" applyAlignment="1">
      <alignment vertical="center"/>
    </xf>
    <xf numFmtId="0" fontId="3" fillId="0" borderId="0" xfId="0" applyFont="1" applyFill="1" applyBorder="1"/>
    <xf numFmtId="49" fontId="10" fillId="2" borderId="8" xfId="0" applyNumberFormat="1" applyFont="1" applyFill="1" applyBorder="1" applyAlignment="1">
      <alignment horizontal="left" vertical="center" wrapText="1"/>
    </xf>
    <xf numFmtId="4" fontId="10" fillId="0" borderId="8" xfId="0" applyNumberFormat="1" applyFont="1" applyFill="1" applyBorder="1" applyAlignment="1">
      <alignment horizontal="center" vertical="center" wrapText="1"/>
    </xf>
    <xf numFmtId="4" fontId="10" fillId="3" borderId="6" xfId="0" applyNumberFormat="1" applyFont="1" applyFill="1" applyBorder="1" applyAlignment="1">
      <alignment horizontal="center" vertical="center" wrapText="1"/>
    </xf>
    <xf numFmtId="4" fontId="10" fillId="0" borderId="34" xfId="0" applyNumberFormat="1" applyFont="1" applyFill="1" applyBorder="1" applyAlignment="1">
      <alignment horizontal="center" vertical="center" wrapText="1"/>
    </xf>
    <xf numFmtId="49" fontId="11" fillId="2" borderId="15" xfId="0" applyNumberFormat="1" applyFont="1" applyFill="1" applyBorder="1" applyAlignment="1">
      <alignment horizontal="left" vertical="center" wrapText="1"/>
    </xf>
    <xf numFmtId="4" fontId="11" fillId="2" borderId="15" xfId="0" applyNumberFormat="1" applyFont="1" applyFill="1" applyBorder="1" applyAlignment="1">
      <alignment horizontal="center" vertical="center" wrapText="1"/>
    </xf>
    <xf numFmtId="4" fontId="11" fillId="2" borderId="37" xfId="0" applyNumberFormat="1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vertical="center" wrapText="1"/>
    </xf>
    <xf numFmtId="49" fontId="10" fillId="2" borderId="1" xfId="0" applyNumberFormat="1" applyFont="1" applyFill="1" applyBorder="1" applyAlignment="1">
      <alignment horizontal="left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" fontId="10" fillId="2" borderId="5" xfId="0" applyNumberFormat="1" applyFont="1" applyFill="1" applyBorder="1" applyAlignment="1">
      <alignment horizontal="center" vertical="center" wrapText="1"/>
    </xf>
    <xf numFmtId="49" fontId="10" fillId="2" borderId="36" xfId="0" applyNumberFormat="1" applyFont="1" applyFill="1" applyBorder="1" applyAlignment="1">
      <alignment horizontal="left" vertical="center" wrapText="1"/>
    </xf>
    <xf numFmtId="4" fontId="11" fillId="2" borderId="45" xfId="0" applyNumberFormat="1" applyFont="1" applyFill="1" applyBorder="1" applyAlignment="1">
      <alignment horizontal="center" vertical="center" wrapText="1"/>
    </xf>
    <xf numFmtId="0" fontId="3" fillId="4" borderId="14" xfId="0" applyFont="1" applyFill="1" applyBorder="1"/>
    <xf numFmtId="0" fontId="3" fillId="4" borderId="13" xfId="0" applyFont="1" applyFill="1" applyBorder="1"/>
    <xf numFmtId="4" fontId="3" fillId="4" borderId="0" xfId="0" applyNumberFormat="1" applyFont="1" applyFill="1" applyAlignment="1">
      <alignment vertical="center"/>
    </xf>
    <xf numFmtId="169" fontId="3" fillId="4" borderId="0" xfId="0" applyNumberFormat="1" applyFont="1" applyFill="1" applyAlignment="1">
      <alignment vertical="center"/>
    </xf>
    <xf numFmtId="0" fontId="3" fillId="4" borderId="13" xfId="0" applyFont="1" applyFill="1" applyBorder="1" applyAlignment="1">
      <alignment vertical="center"/>
    </xf>
    <xf numFmtId="4" fontId="11" fillId="2" borderId="54" xfId="0" applyNumberFormat="1" applyFont="1" applyFill="1" applyBorder="1" applyAlignment="1">
      <alignment horizontal="center" vertical="center" wrapText="1"/>
    </xf>
    <xf numFmtId="2" fontId="3" fillId="2" borderId="13" xfId="0" applyNumberFormat="1" applyFont="1" applyFill="1" applyBorder="1"/>
    <xf numFmtId="0" fontId="3" fillId="2" borderId="14" xfId="0" applyFont="1" applyFill="1" applyBorder="1" applyAlignment="1">
      <alignment vertical="top"/>
    </xf>
    <xf numFmtId="49" fontId="8" fillId="5" borderId="29" xfId="0" applyNumberFormat="1" applyFont="1" applyFill="1" applyBorder="1" applyAlignment="1">
      <alignment horizontal="left" vertical="center" wrapText="1"/>
    </xf>
    <xf numFmtId="49" fontId="8" fillId="5" borderId="30" xfId="0" applyNumberFormat="1" applyFont="1" applyFill="1" applyBorder="1" applyAlignment="1">
      <alignment horizontal="center" vertical="center" wrapText="1"/>
    </xf>
    <xf numFmtId="4" fontId="8" fillId="5" borderId="32" xfId="0" applyNumberFormat="1" applyFont="1" applyFill="1" applyBorder="1" applyAlignment="1">
      <alignment horizontal="center" vertical="center" wrapText="1"/>
    </xf>
    <xf numFmtId="49" fontId="8" fillId="2" borderId="33" xfId="0" applyNumberFormat="1" applyFont="1" applyFill="1" applyBorder="1" applyAlignment="1">
      <alignment horizontal="left" vertical="center" wrapText="1"/>
    </xf>
    <xf numFmtId="49" fontId="8" fillId="2" borderId="8" xfId="0" applyNumberFormat="1" applyFont="1" applyFill="1" applyBorder="1" applyAlignment="1">
      <alignment horizontal="center" vertical="center" wrapText="1"/>
    </xf>
    <xf numFmtId="4" fontId="8" fillId="2" borderId="35" xfId="0" applyNumberFormat="1" applyFont="1" applyFill="1" applyBorder="1" applyAlignment="1">
      <alignment horizontal="center" vertical="center" wrapText="1"/>
    </xf>
    <xf numFmtId="49" fontId="3" fillId="2" borderId="33" xfId="0" applyNumberFormat="1" applyFont="1" applyFill="1" applyBorder="1" applyAlignment="1">
      <alignment horizontal="justify" vertical="center" wrapText="1"/>
    </xf>
    <xf numFmtId="49" fontId="11" fillId="0" borderId="8" xfId="0" applyNumberFormat="1" applyFont="1" applyFill="1" applyBorder="1" applyAlignment="1">
      <alignment horizontal="center" vertical="center" wrapText="1"/>
    </xf>
    <xf numFmtId="49" fontId="3" fillId="2" borderId="33" xfId="0" applyNumberFormat="1" applyFont="1" applyFill="1" applyBorder="1" applyAlignment="1">
      <alignment vertical="center" wrapText="1"/>
    </xf>
    <xf numFmtId="0" fontId="3" fillId="3" borderId="13" xfId="0" applyFont="1" applyFill="1" applyBorder="1" applyAlignment="1">
      <alignment vertical="center"/>
    </xf>
    <xf numFmtId="0" fontId="29" fillId="2" borderId="0" xfId="0" applyFont="1" applyFill="1" applyBorder="1" applyAlignment="1">
      <alignment wrapText="1"/>
    </xf>
    <xf numFmtId="0" fontId="3" fillId="2" borderId="13" xfId="0" applyFont="1" applyFill="1" applyBorder="1" applyAlignment="1">
      <alignment wrapText="1"/>
    </xf>
    <xf numFmtId="49" fontId="7" fillId="2" borderId="33" xfId="0" applyNumberFormat="1" applyFont="1" applyFill="1" applyBorder="1" applyAlignment="1">
      <alignment horizontal="left" vertical="center" wrapText="1"/>
    </xf>
    <xf numFmtId="49" fontId="7" fillId="2" borderId="8" xfId="0" applyNumberFormat="1" applyFont="1" applyFill="1" applyBorder="1" applyAlignment="1">
      <alignment horizontal="center" vertical="center" wrapText="1"/>
    </xf>
    <xf numFmtId="4" fontId="7" fillId="2" borderId="35" xfId="0" applyNumberFormat="1" applyFont="1" applyFill="1" applyBorder="1" applyAlignment="1">
      <alignment horizontal="center" vertical="center" wrapText="1"/>
    </xf>
    <xf numFmtId="0" fontId="12" fillId="3" borderId="13" xfId="0" applyFont="1" applyFill="1" applyBorder="1"/>
    <xf numFmtId="0" fontId="14" fillId="2" borderId="8" xfId="1" applyFont="1" applyFill="1" applyBorder="1" applyAlignment="1">
      <alignment horizontal="left" vertical="center" wrapText="1"/>
    </xf>
    <xf numFmtId="2" fontId="3" fillId="2" borderId="55" xfId="0" applyNumberFormat="1" applyFont="1" applyFill="1" applyBorder="1" applyAlignment="1">
      <alignment wrapText="1"/>
    </xf>
    <xf numFmtId="0" fontId="2" fillId="5" borderId="16" xfId="0" applyFont="1" applyFill="1" applyBorder="1" applyAlignment="1">
      <alignment wrapText="1"/>
    </xf>
    <xf numFmtId="0" fontId="2" fillId="5" borderId="17" xfId="0" applyFont="1" applyFill="1" applyBorder="1"/>
    <xf numFmtId="4" fontId="2" fillId="5" borderId="18" xfId="0" applyNumberFormat="1" applyFont="1" applyFill="1" applyBorder="1" applyAlignment="1">
      <alignment horizontal="center" vertical="center"/>
    </xf>
    <xf numFmtId="4" fontId="2" fillId="5" borderId="11" xfId="0" applyNumberFormat="1" applyFont="1" applyFill="1" applyBorder="1" applyAlignment="1">
      <alignment horizontal="center" vertical="center"/>
    </xf>
    <xf numFmtId="49" fontId="10" fillId="2" borderId="19" xfId="0" applyNumberFormat="1" applyFont="1" applyFill="1" applyBorder="1" applyAlignment="1">
      <alignment horizontal="left" vertical="center" wrapText="1"/>
    </xf>
    <xf numFmtId="49" fontId="10" fillId="2" borderId="20" xfId="0" applyNumberFormat="1" applyFont="1" applyFill="1" applyBorder="1" applyAlignment="1">
      <alignment horizontal="center" vertical="center" wrapText="1"/>
    </xf>
    <xf numFmtId="4" fontId="10" fillId="2" borderId="23" xfId="0" applyNumberFormat="1" applyFont="1" applyFill="1" applyBorder="1" applyAlignment="1">
      <alignment horizontal="center" vertical="center" wrapText="1"/>
    </xf>
    <xf numFmtId="4" fontId="3" fillId="2" borderId="56" xfId="0" applyNumberFormat="1" applyFont="1" applyFill="1" applyBorder="1" applyAlignment="1">
      <alignment vertical="center"/>
    </xf>
    <xf numFmtId="169" fontId="3" fillId="2" borderId="56" xfId="0" applyNumberFormat="1" applyFont="1" applyFill="1" applyBorder="1" applyAlignment="1">
      <alignment vertical="center"/>
    </xf>
    <xf numFmtId="0" fontId="3" fillId="2" borderId="21" xfId="0" applyFont="1" applyFill="1" applyBorder="1"/>
    <xf numFmtId="0" fontId="3" fillId="2" borderId="57" xfId="0" applyFont="1" applyFill="1" applyBorder="1"/>
    <xf numFmtId="4" fontId="11" fillId="2" borderId="42" xfId="0" applyNumberFormat="1" applyFont="1" applyFill="1" applyBorder="1" applyAlignment="1">
      <alignment horizontal="center" vertical="center" wrapText="1"/>
    </xf>
    <xf numFmtId="4" fontId="3" fillId="2" borderId="53" xfId="0" applyNumberFormat="1" applyFont="1" applyFill="1" applyBorder="1" applyAlignment="1">
      <alignment vertical="center"/>
    </xf>
    <xf numFmtId="169" fontId="3" fillId="2" borderId="53" xfId="0" applyNumberFormat="1" applyFont="1" applyFill="1" applyBorder="1" applyAlignment="1">
      <alignment vertical="center"/>
    </xf>
    <xf numFmtId="0" fontId="3" fillId="2" borderId="26" xfId="0" applyFont="1" applyFill="1" applyBorder="1"/>
    <xf numFmtId="0" fontId="3" fillId="2" borderId="58" xfId="0" applyFont="1" applyFill="1" applyBorder="1"/>
    <xf numFmtId="0" fontId="3" fillId="3" borderId="26" xfId="0" applyFont="1" applyFill="1" applyBorder="1" applyAlignment="1">
      <alignment vertical="top"/>
    </xf>
    <xf numFmtId="0" fontId="3" fillId="2" borderId="58" xfId="0" applyFont="1" applyFill="1" applyBorder="1" applyAlignment="1">
      <alignment vertical="top"/>
    </xf>
    <xf numFmtId="4" fontId="11" fillId="0" borderId="54" xfId="0" applyNumberFormat="1" applyFont="1" applyFill="1" applyBorder="1" applyAlignment="1">
      <alignment horizontal="center" vertical="center" wrapText="1"/>
    </xf>
    <xf numFmtId="4" fontId="10" fillId="11" borderId="59" xfId="0" applyNumberFormat="1" applyFont="1" applyFill="1" applyBorder="1" applyAlignment="1">
      <alignment horizontal="center" vertical="center" wrapText="1"/>
    </xf>
    <xf numFmtId="165" fontId="18" fillId="0" borderId="49" xfId="0" applyNumberFormat="1" applyFont="1" applyBorder="1" applyAlignment="1">
      <alignment horizontal="center" vertical="center"/>
    </xf>
    <xf numFmtId="165" fontId="18" fillId="12" borderId="50" xfId="0" applyNumberFormat="1" applyFont="1" applyFill="1" applyBorder="1" applyAlignment="1">
      <alignment horizontal="center" vertical="center"/>
    </xf>
    <xf numFmtId="165" fontId="18" fillId="2" borderId="8" xfId="0" applyNumberFormat="1" applyFont="1" applyFill="1" applyBorder="1" applyAlignment="1">
      <alignment horizontal="center" vertical="center"/>
    </xf>
    <xf numFmtId="10" fontId="3" fillId="0" borderId="0" xfId="0" applyNumberFormat="1" applyFont="1" applyAlignment="1">
      <alignment horizontal="center" vertical="center" wrapText="1"/>
    </xf>
    <xf numFmtId="10" fontId="28" fillId="0" borderId="8" xfId="0" applyNumberFormat="1" applyFont="1" applyFill="1" applyBorder="1" applyAlignment="1">
      <alignment horizontal="center" vertical="center"/>
    </xf>
    <xf numFmtId="10" fontId="18" fillId="0" borderId="8" xfId="0" applyNumberFormat="1" applyFont="1" applyFill="1" applyBorder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170" fontId="0" fillId="0" borderId="0" xfId="0" applyNumberFormat="1" applyAlignment="1">
      <alignment horizontal="center" vertical="center"/>
    </xf>
    <xf numFmtId="10" fontId="28" fillId="3" borderId="8" xfId="0" applyNumberFormat="1" applyFont="1" applyFill="1" applyBorder="1" applyAlignment="1">
      <alignment horizontal="center" vertical="center"/>
    </xf>
    <xf numFmtId="10" fontId="2" fillId="3" borderId="8" xfId="0" applyNumberFormat="1" applyFont="1" applyFill="1" applyBorder="1" applyAlignment="1">
      <alignment horizontal="center" vertical="center" wrapText="1"/>
    </xf>
    <xf numFmtId="10" fontId="2" fillId="0" borderId="8" xfId="0" applyNumberFormat="1" applyFont="1" applyFill="1" applyBorder="1" applyAlignment="1">
      <alignment horizontal="center" vertical="center" wrapText="1"/>
    </xf>
    <xf numFmtId="10" fontId="3" fillId="2" borderId="0" xfId="0" applyNumberFormat="1" applyFont="1" applyFill="1"/>
    <xf numFmtId="10" fontId="6" fillId="5" borderId="12" xfId="0" applyNumberFormat="1" applyFont="1" applyFill="1" applyBorder="1" applyAlignment="1">
      <alignment horizontal="center" vertical="center" wrapText="1"/>
    </xf>
    <xf numFmtId="10" fontId="8" fillId="10" borderId="12" xfId="0" applyNumberFormat="1" applyFont="1" applyFill="1" applyBorder="1" applyAlignment="1">
      <alignment horizontal="center" vertical="center"/>
    </xf>
    <xf numFmtId="10" fontId="8" fillId="13" borderId="12" xfId="0" applyNumberFormat="1" applyFont="1" applyFill="1" applyBorder="1" applyAlignment="1">
      <alignment horizontal="center" vertical="center"/>
    </xf>
    <xf numFmtId="10" fontId="10" fillId="11" borderId="32" xfId="0" applyNumberFormat="1" applyFont="1" applyFill="1" applyBorder="1" applyAlignment="1">
      <alignment horizontal="center" vertical="center" wrapText="1"/>
    </xf>
    <xf numFmtId="10" fontId="10" fillId="9" borderId="35" xfId="0" applyNumberFormat="1" applyFont="1" applyFill="1" applyBorder="1" applyAlignment="1">
      <alignment horizontal="center" vertical="center" wrapText="1"/>
    </xf>
    <xf numFmtId="10" fontId="11" fillId="2" borderId="35" xfId="0" applyNumberFormat="1" applyFont="1" applyFill="1" applyBorder="1" applyAlignment="1">
      <alignment horizontal="center" vertical="center" wrapText="1"/>
    </xf>
    <xf numFmtId="10" fontId="10" fillId="11" borderId="35" xfId="0" applyNumberFormat="1" applyFont="1" applyFill="1" applyBorder="1" applyAlignment="1">
      <alignment horizontal="center" vertical="center" wrapText="1"/>
    </xf>
    <xf numFmtId="10" fontId="11" fillId="0" borderId="35" xfId="0" applyNumberFormat="1" applyFont="1" applyFill="1" applyBorder="1" applyAlignment="1">
      <alignment horizontal="center" vertical="center" wrapText="1"/>
    </xf>
    <xf numFmtId="10" fontId="11" fillId="0" borderId="39" xfId="0" applyNumberFormat="1" applyFont="1" applyFill="1" applyBorder="1" applyAlignment="1">
      <alignment horizontal="center" vertical="center" wrapText="1"/>
    </xf>
    <xf numFmtId="10" fontId="11" fillId="2" borderId="39" xfId="0" applyNumberFormat="1" applyFont="1" applyFill="1" applyBorder="1" applyAlignment="1">
      <alignment horizontal="center" vertical="center" wrapText="1"/>
    </xf>
    <xf numFmtId="10" fontId="10" fillId="9" borderId="34" xfId="0" applyNumberFormat="1" applyFont="1" applyFill="1" applyBorder="1" applyAlignment="1">
      <alignment horizontal="center" vertical="center" wrapText="1"/>
    </xf>
    <xf numFmtId="10" fontId="11" fillId="0" borderId="40" xfId="0" applyNumberFormat="1" applyFont="1" applyFill="1" applyBorder="1" applyAlignment="1">
      <alignment horizontal="center" vertical="center" wrapText="1"/>
    </xf>
    <xf numFmtId="10" fontId="10" fillId="11" borderId="5" xfId="0" applyNumberFormat="1" applyFont="1" applyFill="1" applyBorder="1" applyAlignment="1">
      <alignment horizontal="center" vertical="center" wrapText="1"/>
    </xf>
    <xf numFmtId="10" fontId="10" fillId="9" borderId="32" xfId="0" applyNumberFormat="1" applyFont="1" applyFill="1" applyBorder="1" applyAlignment="1">
      <alignment horizontal="center" vertical="center" wrapText="1"/>
    </xf>
    <xf numFmtId="10" fontId="8" fillId="6" borderId="12" xfId="0" applyNumberFormat="1" applyFont="1" applyFill="1" applyBorder="1" applyAlignment="1">
      <alignment horizontal="center" vertical="center" wrapText="1"/>
    </xf>
    <xf numFmtId="10" fontId="8" fillId="7" borderId="4" xfId="0" applyNumberFormat="1" applyFont="1" applyFill="1" applyBorder="1" applyAlignment="1">
      <alignment horizontal="center" vertical="center" wrapText="1"/>
    </xf>
    <xf numFmtId="10" fontId="10" fillId="8" borderId="34" xfId="0" applyNumberFormat="1" applyFont="1" applyFill="1" applyBorder="1" applyAlignment="1">
      <alignment horizontal="center" vertical="center" wrapText="1"/>
    </xf>
    <xf numFmtId="10" fontId="10" fillId="15" borderId="34" xfId="0" applyNumberFormat="1" applyFont="1" applyFill="1" applyBorder="1" applyAlignment="1">
      <alignment horizontal="center" vertical="center" wrapText="1"/>
    </xf>
    <xf numFmtId="10" fontId="11" fillId="0" borderId="34" xfId="0" applyNumberFormat="1" applyFont="1" applyFill="1" applyBorder="1" applyAlignment="1">
      <alignment horizontal="center" vertical="center" wrapText="1"/>
    </xf>
    <xf numFmtId="10" fontId="11" fillId="2" borderId="34" xfId="0" applyNumberFormat="1" applyFont="1" applyFill="1" applyBorder="1" applyAlignment="1">
      <alignment horizontal="center" vertical="center" wrapText="1"/>
    </xf>
    <xf numFmtId="10" fontId="8" fillId="7" borderId="34" xfId="0" applyNumberFormat="1" applyFont="1" applyFill="1" applyBorder="1" applyAlignment="1">
      <alignment horizontal="center" vertical="center" wrapText="1"/>
    </xf>
    <xf numFmtId="10" fontId="7" fillId="15" borderId="34" xfId="0" applyNumberFormat="1" applyFont="1" applyFill="1" applyBorder="1" applyAlignment="1">
      <alignment horizontal="center" vertical="center" wrapText="1"/>
    </xf>
    <xf numFmtId="10" fontId="11" fillId="0" borderId="38" xfId="0" applyNumberFormat="1" applyFont="1" applyFill="1" applyBorder="1" applyAlignment="1">
      <alignment horizontal="center" vertical="center" wrapText="1"/>
    </xf>
    <xf numFmtId="10" fontId="15" fillId="14" borderId="12" xfId="0" applyNumberFormat="1" applyFont="1" applyFill="1" applyBorder="1" applyAlignment="1">
      <alignment horizontal="center" vertical="center" wrapText="1"/>
    </xf>
    <xf numFmtId="10" fontId="15" fillId="10" borderId="11" xfId="0" applyNumberFormat="1" applyFont="1" applyFill="1" applyBorder="1" applyAlignment="1">
      <alignment horizontal="center" vertical="center" wrapText="1"/>
    </xf>
    <xf numFmtId="10" fontId="10" fillId="11" borderId="4" xfId="0" applyNumberFormat="1" applyFont="1" applyFill="1" applyBorder="1" applyAlignment="1">
      <alignment horizontal="center" vertical="center" wrapText="1"/>
    </xf>
    <xf numFmtId="10" fontId="11" fillId="0" borderId="45" xfId="0" applyNumberFormat="1" applyFont="1" applyFill="1" applyBorder="1" applyAlignment="1">
      <alignment horizontal="center" vertical="center" wrapText="1"/>
    </xf>
    <xf numFmtId="10" fontId="8" fillId="6" borderId="11" xfId="0" applyNumberFormat="1" applyFont="1" applyFill="1" applyBorder="1" applyAlignment="1">
      <alignment horizontal="center" vertical="center"/>
    </xf>
    <xf numFmtId="10" fontId="12" fillId="2" borderId="0" xfId="0" applyNumberFormat="1" applyFont="1" applyFill="1"/>
    <xf numFmtId="10" fontId="16" fillId="2" borderId="23" xfId="0" applyNumberFormat="1" applyFont="1" applyFill="1" applyBorder="1" applyAlignment="1">
      <alignment horizontal="center" vertical="center" wrapText="1"/>
    </xf>
    <xf numFmtId="10" fontId="8" fillId="5" borderId="5" xfId="0" applyNumberFormat="1" applyFont="1" applyFill="1" applyBorder="1" applyAlignment="1">
      <alignment horizontal="center" vertical="center"/>
    </xf>
    <xf numFmtId="10" fontId="8" fillId="16" borderId="39" xfId="0" applyNumberFormat="1" applyFont="1" applyFill="1" applyBorder="1" applyAlignment="1">
      <alignment horizontal="center" vertical="center"/>
    </xf>
    <xf numFmtId="10" fontId="10" fillId="0" borderId="32" xfId="0" applyNumberFormat="1" applyFont="1" applyFill="1" applyBorder="1" applyAlignment="1">
      <alignment horizontal="center" vertical="center" wrapText="1"/>
    </xf>
    <xf numFmtId="10" fontId="10" fillId="0" borderId="35" xfId="0" applyNumberFormat="1" applyFont="1" applyFill="1" applyBorder="1" applyAlignment="1">
      <alignment horizontal="center" vertical="center" wrapText="1"/>
    </xf>
    <xf numFmtId="10" fontId="10" fillId="2" borderId="35" xfId="0" applyNumberFormat="1" applyFont="1" applyFill="1" applyBorder="1" applyAlignment="1">
      <alignment horizontal="center" vertical="center" wrapText="1"/>
    </xf>
    <xf numFmtId="10" fontId="10" fillId="2" borderId="32" xfId="0" applyNumberFormat="1" applyFont="1" applyFill="1" applyBorder="1" applyAlignment="1">
      <alignment horizontal="center" vertical="center" wrapText="1"/>
    </xf>
    <xf numFmtId="10" fontId="10" fillId="0" borderId="34" xfId="0" applyNumberFormat="1" applyFont="1" applyFill="1" applyBorder="1" applyAlignment="1">
      <alignment horizontal="center" vertical="center" wrapText="1"/>
    </xf>
    <xf numFmtId="10" fontId="10" fillId="2" borderId="5" xfId="0" applyNumberFormat="1" applyFont="1" applyFill="1" applyBorder="1" applyAlignment="1">
      <alignment horizontal="center" vertical="center" wrapText="1"/>
    </xf>
    <xf numFmtId="10" fontId="10" fillId="0" borderId="23" xfId="0" applyNumberFormat="1" applyFont="1" applyFill="1" applyBorder="1" applyAlignment="1">
      <alignment horizontal="center" vertical="center" wrapText="1"/>
    </xf>
    <xf numFmtId="10" fontId="11" fillId="0" borderId="54" xfId="0" applyNumberFormat="1" applyFont="1" applyFill="1" applyBorder="1" applyAlignment="1">
      <alignment horizontal="center" vertical="center" wrapText="1"/>
    </xf>
    <xf numFmtId="10" fontId="8" fillId="5" borderId="32" xfId="0" applyNumberFormat="1" applyFont="1" applyFill="1" applyBorder="1" applyAlignment="1">
      <alignment horizontal="center" vertical="center" wrapText="1"/>
    </xf>
    <xf numFmtId="10" fontId="8" fillId="2" borderId="35" xfId="0" applyNumberFormat="1" applyFont="1" applyFill="1" applyBorder="1" applyAlignment="1">
      <alignment horizontal="center" vertical="center" wrapText="1"/>
    </xf>
    <xf numFmtId="10" fontId="7" fillId="2" borderId="35" xfId="0" applyNumberFormat="1" applyFont="1" applyFill="1" applyBorder="1" applyAlignment="1">
      <alignment horizontal="center" vertical="center" wrapText="1"/>
    </xf>
    <xf numFmtId="10" fontId="11" fillId="2" borderId="54" xfId="0" applyNumberFormat="1" applyFont="1" applyFill="1" applyBorder="1" applyAlignment="1">
      <alignment horizontal="center" vertical="center" wrapText="1"/>
    </xf>
    <xf numFmtId="10" fontId="2" fillId="5" borderId="11" xfId="0" applyNumberFormat="1" applyFont="1" applyFill="1" applyBorder="1" applyAlignment="1">
      <alignment horizontal="center" vertical="center"/>
    </xf>
    <xf numFmtId="10" fontId="3" fillId="2" borderId="0" xfId="0" applyNumberFormat="1" applyFont="1" applyFill="1" applyAlignment="1">
      <alignment horizontal="center" vertical="center"/>
    </xf>
    <xf numFmtId="10" fontId="3" fillId="2" borderId="0" xfId="0" applyNumberFormat="1" applyFont="1" applyFill="1" applyAlignment="1" applyProtection="1">
      <alignment horizontal="center" vertical="center" wrapText="1"/>
      <protection locked="0"/>
    </xf>
    <xf numFmtId="10" fontId="6" fillId="2" borderId="8" xfId="0" applyNumberFormat="1" applyFont="1" applyFill="1" applyBorder="1" applyAlignment="1" applyProtection="1">
      <alignment horizontal="center" vertical="center" wrapText="1"/>
      <protection locked="0"/>
    </xf>
    <xf numFmtId="10" fontId="6" fillId="2" borderId="8" xfId="3" applyNumberFormat="1" applyFont="1" applyFill="1" applyBorder="1" applyAlignment="1">
      <alignment horizontal="center" vertical="center" wrapText="1"/>
    </xf>
    <xf numFmtId="10" fontId="18" fillId="2" borderId="8" xfId="3" applyNumberFormat="1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10" fontId="30" fillId="0" borderId="8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distributed"/>
    </xf>
    <xf numFmtId="164" fontId="4" fillId="0" borderId="8" xfId="0" applyNumberFormat="1" applyFont="1" applyFill="1" applyBorder="1" applyAlignment="1">
      <alignment horizontal="center" wrapText="1"/>
    </xf>
    <xf numFmtId="164" fontId="4" fillId="0" borderId="8" xfId="0" applyNumberFormat="1" applyFont="1" applyFill="1" applyBorder="1" applyAlignment="1">
      <alignment horizontal="center" vertical="center" wrapText="1"/>
    </xf>
    <xf numFmtId="171" fontId="2" fillId="3" borderId="8" xfId="0" applyNumberFormat="1" applyFont="1" applyFill="1" applyBorder="1" applyAlignment="1">
      <alignment horizontal="center" vertical="center" wrapText="1"/>
    </xf>
    <xf numFmtId="164" fontId="2" fillId="3" borderId="8" xfId="0" applyNumberFormat="1" applyFont="1" applyFill="1" applyBorder="1" applyAlignment="1">
      <alignment horizontal="center" wrapText="1"/>
    </xf>
    <xf numFmtId="172" fontId="0" fillId="0" borderId="0" xfId="0" applyNumberFormat="1"/>
    <xf numFmtId="164" fontId="0" fillId="0" borderId="0" xfId="0" applyNumberFormat="1" applyAlignment="1">
      <alignment horizontal="center"/>
    </xf>
    <xf numFmtId="174" fontId="11" fillId="2" borderId="35" xfId="0" applyNumberFormat="1" applyFont="1" applyFill="1" applyBorder="1" applyAlignment="1">
      <alignment horizontal="center" vertical="center" wrapText="1"/>
    </xf>
    <xf numFmtId="173" fontId="10" fillId="11" borderId="32" xfId="0" applyNumberFormat="1" applyFont="1" applyFill="1" applyBorder="1" applyAlignment="1">
      <alignment horizontal="center" vertical="center" wrapText="1"/>
    </xf>
    <xf numFmtId="174" fontId="10" fillId="11" borderId="32" xfId="0" applyNumberFormat="1" applyFont="1" applyFill="1" applyBorder="1" applyAlignment="1">
      <alignment horizontal="center" vertical="center" wrapText="1"/>
    </xf>
    <xf numFmtId="174" fontId="10" fillId="9" borderId="35" xfId="0" applyNumberFormat="1" applyFont="1" applyFill="1" applyBorder="1" applyAlignment="1">
      <alignment horizontal="center" vertical="center" wrapText="1"/>
    </xf>
    <xf numFmtId="173" fontId="10" fillId="11" borderId="35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Alignment="1" applyProtection="1">
      <alignment horizontal="center" vertical="center" wrapText="1"/>
      <protection locked="0"/>
    </xf>
    <xf numFmtId="2" fontId="6" fillId="2" borderId="8" xfId="3" applyNumberFormat="1" applyFont="1" applyFill="1" applyBorder="1" applyAlignment="1">
      <alignment horizontal="center" vertical="center" wrapText="1"/>
    </xf>
    <xf numFmtId="2" fontId="3" fillId="2" borderId="37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47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48" xfId="0" applyNumberFormat="1" applyFont="1" applyFill="1" applyBorder="1" applyAlignment="1" applyProtection="1">
      <alignment horizontal="center" vertical="center" wrapText="1"/>
      <protection locked="0"/>
    </xf>
    <xf numFmtId="2" fontId="18" fillId="2" borderId="8" xfId="3" applyNumberFormat="1" applyFont="1" applyFill="1" applyBorder="1" applyAlignment="1">
      <alignment horizontal="center" vertical="center" wrapText="1"/>
    </xf>
    <xf numFmtId="2" fontId="3" fillId="2" borderId="13" xfId="0" applyNumberFormat="1" applyFont="1" applyFill="1" applyBorder="1" applyAlignment="1" applyProtection="1">
      <alignment horizontal="center" vertical="center" wrapText="1"/>
      <protection locked="0"/>
    </xf>
    <xf numFmtId="2" fontId="3" fillId="3" borderId="13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14" xfId="0" applyNumberFormat="1" applyFont="1" applyFill="1" applyBorder="1" applyAlignment="1" applyProtection="1">
      <alignment horizontal="center" vertical="center" wrapText="1"/>
      <protection locked="0"/>
    </xf>
    <xf numFmtId="2" fontId="18" fillId="0" borderId="8" xfId="3" applyNumberFormat="1" applyFont="1" applyFill="1" applyBorder="1" applyAlignment="1">
      <alignment horizontal="center" vertical="center" wrapText="1"/>
    </xf>
    <xf numFmtId="2" fontId="12" fillId="2" borderId="13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8" xfId="3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6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wrapText="1"/>
    </xf>
    <xf numFmtId="49" fontId="7" fillId="2" borderId="30" xfId="0" applyNumberFormat="1" applyFont="1" applyFill="1" applyBorder="1" applyAlignment="1">
      <alignment horizontal="center" vertical="center" wrapText="1"/>
    </xf>
    <xf numFmtId="2" fontId="18" fillId="0" borderId="16" xfId="0" applyNumberFormat="1" applyFont="1" applyBorder="1" applyAlignment="1">
      <alignment horizontal="center" vertical="center" wrapText="1"/>
    </xf>
    <xf numFmtId="10" fontId="18" fillId="0" borderId="12" xfId="0" applyNumberFormat="1" applyFont="1" applyBorder="1" applyAlignment="1">
      <alignment horizontal="center" vertical="center" wrapText="1"/>
    </xf>
    <xf numFmtId="4" fontId="10" fillId="9" borderId="60" xfId="0" applyNumberFormat="1" applyFont="1" applyFill="1" applyBorder="1" applyAlignment="1">
      <alignment horizontal="center" vertical="center" wrapText="1"/>
    </xf>
    <xf numFmtId="4" fontId="15" fillId="10" borderId="12" xfId="0" applyNumberFormat="1" applyFont="1" applyFill="1" applyBorder="1" applyAlignment="1">
      <alignment horizontal="center" vertical="center" wrapText="1"/>
    </xf>
    <xf numFmtId="4" fontId="8" fillId="6" borderId="11" xfId="0" applyNumberFormat="1" applyFont="1" applyFill="1" applyBorder="1" applyAlignment="1">
      <alignment horizontal="center" vertical="center"/>
    </xf>
    <xf numFmtId="2" fontId="16" fillId="2" borderId="21" xfId="0" applyNumberFormat="1" applyFont="1" applyFill="1" applyBorder="1" applyAlignment="1">
      <alignment horizontal="center" vertical="center" wrapText="1"/>
    </xf>
    <xf numFmtId="4" fontId="8" fillId="5" borderId="3" xfId="0" applyNumberFormat="1" applyFont="1" applyFill="1" applyBorder="1" applyAlignment="1">
      <alignment horizontal="center" vertical="center"/>
    </xf>
    <xf numFmtId="4" fontId="8" fillId="16" borderId="37" xfId="0" applyNumberFormat="1" applyFont="1" applyFill="1" applyBorder="1" applyAlignment="1">
      <alignment horizontal="center" vertical="center"/>
    </xf>
    <xf numFmtId="4" fontId="10" fillId="0" borderId="31" xfId="0" applyNumberFormat="1" applyFont="1" applyFill="1" applyBorder="1" applyAlignment="1">
      <alignment horizontal="center" vertical="center" wrapText="1"/>
    </xf>
    <xf numFmtId="4" fontId="10" fillId="0" borderId="6" xfId="0" applyNumberFormat="1" applyFont="1" applyFill="1" applyBorder="1" applyAlignment="1">
      <alignment horizontal="center" vertical="center" wrapText="1"/>
    </xf>
    <xf numFmtId="4" fontId="11" fillId="2" borderId="6" xfId="0" applyNumberFormat="1" applyFont="1" applyFill="1" applyBorder="1" applyAlignment="1">
      <alignment horizontal="center" vertical="center" wrapText="1"/>
    </xf>
    <xf numFmtId="4" fontId="10" fillId="2" borderId="6" xfId="0" applyNumberFormat="1" applyFont="1" applyFill="1" applyBorder="1" applyAlignment="1">
      <alignment horizontal="center" vertical="center" wrapText="1"/>
    </xf>
    <xf numFmtId="4" fontId="10" fillId="2" borderId="31" xfId="0" applyNumberFormat="1" applyFont="1" applyFill="1" applyBorder="1" applyAlignment="1">
      <alignment horizontal="center" vertical="center" wrapText="1"/>
    </xf>
    <xf numFmtId="4" fontId="10" fillId="2" borderId="3" xfId="0" applyNumberFormat="1" applyFont="1" applyFill="1" applyBorder="1" applyAlignment="1">
      <alignment horizontal="center" vertical="center" wrapText="1"/>
    </xf>
    <xf numFmtId="4" fontId="10" fillId="2" borderId="21" xfId="0" applyNumberFormat="1" applyFont="1" applyFill="1" applyBorder="1" applyAlignment="1">
      <alignment horizontal="center" vertical="center" wrapText="1"/>
    </xf>
    <xf numFmtId="4" fontId="11" fillId="2" borderId="43" xfId="0" applyNumberFormat="1" applyFont="1" applyFill="1" applyBorder="1" applyAlignment="1">
      <alignment horizontal="center" vertical="center" wrapText="1"/>
    </xf>
    <xf numFmtId="4" fontId="8" fillId="5" borderId="31" xfId="0" applyNumberFormat="1" applyFont="1" applyFill="1" applyBorder="1" applyAlignment="1">
      <alignment horizontal="center" vertical="center" wrapText="1"/>
    </xf>
    <xf numFmtId="4" fontId="8" fillId="2" borderId="6" xfId="0" applyNumberFormat="1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 wrapText="1"/>
    </xf>
    <xf numFmtId="4" fontId="10" fillId="2" borderId="60" xfId="0" applyNumberFormat="1" applyFont="1" applyFill="1" applyBorder="1" applyAlignment="1">
      <alignment horizontal="center" vertical="center" wrapText="1"/>
    </xf>
    <xf numFmtId="2" fontId="16" fillId="2" borderId="22" xfId="0" applyNumberFormat="1" applyFont="1" applyFill="1" applyBorder="1" applyAlignment="1">
      <alignment horizontal="center" vertical="center" wrapText="1"/>
    </xf>
    <xf numFmtId="4" fontId="8" fillId="5" borderId="4" xfId="0" applyNumberFormat="1" applyFont="1" applyFill="1" applyBorder="1" applyAlignment="1">
      <alignment horizontal="center" vertical="center"/>
    </xf>
    <xf numFmtId="4" fontId="8" fillId="16" borderId="38" xfId="0" applyNumberFormat="1" applyFont="1" applyFill="1" applyBorder="1" applyAlignment="1">
      <alignment horizontal="center" vertical="center"/>
    </xf>
    <xf numFmtId="4" fontId="10" fillId="0" borderId="59" xfId="0" applyNumberFormat="1" applyFont="1" applyFill="1" applyBorder="1" applyAlignment="1">
      <alignment horizontal="center" vertical="center" wrapText="1"/>
    </xf>
    <xf numFmtId="4" fontId="10" fillId="2" borderId="34" xfId="0" applyNumberFormat="1" applyFont="1" applyFill="1" applyBorder="1" applyAlignment="1">
      <alignment horizontal="center" vertical="center" wrapText="1"/>
    </xf>
    <xf numFmtId="4" fontId="11" fillId="2" borderId="38" xfId="0" applyNumberFormat="1" applyFont="1" applyFill="1" applyBorder="1" applyAlignment="1">
      <alignment horizontal="center" vertical="center" wrapText="1"/>
    </xf>
    <xf numFmtId="4" fontId="10" fillId="2" borderId="59" xfId="0" applyNumberFormat="1" applyFont="1" applyFill="1" applyBorder="1" applyAlignment="1">
      <alignment horizontal="center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4" fontId="10" fillId="0" borderId="22" xfId="0" applyNumberFormat="1" applyFont="1" applyFill="1" applyBorder="1" applyAlignment="1">
      <alignment horizontal="center" vertical="center" wrapText="1"/>
    </xf>
    <xf numFmtId="4" fontId="8" fillId="5" borderId="59" xfId="0" applyNumberFormat="1" applyFont="1" applyFill="1" applyBorder="1" applyAlignment="1">
      <alignment horizontal="center" vertical="center" wrapText="1"/>
    </xf>
    <xf numFmtId="4" fontId="8" fillId="2" borderId="34" xfId="0" applyNumberFormat="1" applyFont="1" applyFill="1" applyBorder="1" applyAlignment="1">
      <alignment horizontal="center" vertical="center" wrapText="1"/>
    </xf>
    <xf numFmtId="4" fontId="7" fillId="2" borderId="34" xfId="0" applyNumberFormat="1" applyFont="1" applyFill="1" applyBorder="1" applyAlignment="1">
      <alignment horizontal="center" vertical="center" wrapText="1"/>
    </xf>
    <xf numFmtId="4" fontId="11" fillId="2" borderId="40" xfId="0" applyNumberFormat="1" applyFont="1" applyFill="1" applyBorder="1" applyAlignment="1">
      <alignment horizontal="center" vertical="center" wrapText="1"/>
    </xf>
    <xf numFmtId="165" fontId="18" fillId="0" borderId="49" xfId="0" applyNumberFormat="1" applyFont="1" applyFill="1" applyBorder="1" applyAlignment="1">
      <alignment horizontal="center" vertical="center"/>
    </xf>
    <xf numFmtId="174" fontId="15" fillId="14" borderId="12" xfId="0" applyNumberFormat="1" applyFont="1" applyFill="1" applyBorder="1" applyAlignment="1">
      <alignment horizontal="center" vertical="center" wrapText="1"/>
    </xf>
    <xf numFmtId="174" fontId="6" fillId="5" borderId="12" xfId="0" applyNumberFormat="1" applyFont="1" applyFill="1" applyBorder="1" applyAlignment="1">
      <alignment horizontal="center" vertical="center" wrapText="1"/>
    </xf>
    <xf numFmtId="176" fontId="6" fillId="5" borderId="12" xfId="0" applyNumberFormat="1" applyFont="1" applyFill="1" applyBorder="1" applyAlignment="1">
      <alignment horizontal="center" vertical="center" wrapText="1"/>
    </xf>
    <xf numFmtId="176" fontId="3" fillId="2" borderId="0" xfId="0" applyNumberFormat="1" applyFont="1" applyFill="1"/>
    <xf numFmtId="2" fontId="3" fillId="0" borderId="0" xfId="0" applyNumberFormat="1" applyFont="1" applyBorder="1" applyAlignment="1">
      <alignment vertical="center"/>
    </xf>
    <xf numFmtId="0" fontId="18" fillId="0" borderId="0" xfId="0" applyFont="1" applyAlignment="1">
      <alignment wrapText="1"/>
    </xf>
    <xf numFmtId="166" fontId="4" fillId="2" borderId="0" xfId="0" applyNumberFormat="1" applyFont="1" applyFill="1" applyAlignment="1"/>
    <xf numFmtId="4" fontId="11" fillId="2" borderId="35" xfId="0" applyNumberFormat="1" applyFont="1" applyFill="1" applyBorder="1" applyAlignment="1">
      <alignment horizontal="center" wrapText="1"/>
    </xf>
    <xf numFmtId="2" fontId="4" fillId="2" borderId="0" xfId="0" applyNumberFormat="1" applyFont="1" applyFill="1" applyBorder="1" applyAlignment="1">
      <alignment vertical="center" wrapText="1"/>
    </xf>
    <xf numFmtId="0" fontId="16" fillId="0" borderId="8" xfId="0" applyFont="1" applyBorder="1" applyAlignment="1">
      <alignment vertical="top" wrapText="1"/>
    </xf>
    <xf numFmtId="165" fontId="31" fillId="0" borderId="8" xfId="0" applyNumberFormat="1" applyFont="1" applyBorder="1" applyAlignment="1">
      <alignment vertical="top"/>
    </xf>
    <xf numFmtId="0" fontId="1" fillId="0" borderId="8" xfId="0" applyFont="1" applyBorder="1" applyAlignment="1">
      <alignment vertical="top" wrapText="1"/>
    </xf>
    <xf numFmtId="165" fontId="16" fillId="0" borderId="8" xfId="0" applyNumberFormat="1" applyFont="1" applyBorder="1" applyAlignment="1">
      <alignment vertical="top"/>
    </xf>
    <xf numFmtId="0" fontId="32" fillId="0" borderId="8" xfId="0" applyFont="1" applyBorder="1" applyAlignment="1">
      <alignment vertical="top" wrapText="1"/>
    </xf>
    <xf numFmtId="165" fontId="1" fillId="0" borderId="8" xfId="0" applyNumberFormat="1" applyFont="1" applyBorder="1" applyAlignment="1">
      <alignment vertical="top"/>
    </xf>
    <xf numFmtId="165" fontId="1" fillId="2" borderId="8" xfId="0" applyNumberFormat="1" applyFont="1" applyFill="1" applyBorder="1" applyAlignment="1">
      <alignment vertical="top"/>
    </xf>
    <xf numFmtId="0" fontId="1" fillId="0" borderId="8" xfId="0" applyFont="1" applyBorder="1" applyAlignment="1">
      <alignment wrapText="1"/>
    </xf>
    <xf numFmtId="165" fontId="1" fillId="0" borderId="8" xfId="0" applyNumberFormat="1" applyFont="1" applyFill="1" applyBorder="1" applyAlignment="1">
      <alignment vertical="top"/>
    </xf>
    <xf numFmtId="0" fontId="1" fillId="2" borderId="8" xfId="0" applyFont="1" applyFill="1" applyBorder="1" applyAlignment="1">
      <alignment vertical="top" wrapText="1"/>
    </xf>
    <xf numFmtId="165" fontId="16" fillId="0" borderId="8" xfId="0" applyNumberFormat="1" applyFont="1" applyBorder="1" applyAlignment="1">
      <alignment vertical="top" wrapText="1"/>
    </xf>
    <xf numFmtId="43" fontId="2" fillId="0" borderId="8" xfId="0" applyNumberFormat="1" applyFont="1" applyBorder="1" applyAlignment="1">
      <alignment vertical="center"/>
    </xf>
    <xf numFmtId="10" fontId="2" fillId="0" borderId="8" xfId="0" applyNumberFormat="1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wrapText="1"/>
    </xf>
    <xf numFmtId="170" fontId="2" fillId="3" borderId="8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distributed" wrapText="1"/>
    </xf>
    <xf numFmtId="2" fontId="3" fillId="2" borderId="13" xfId="0" applyNumberFormat="1" applyFont="1" applyFill="1" applyBorder="1" applyAlignment="1">
      <alignment horizontal="center" wrapText="1"/>
    </xf>
    <xf numFmtId="2" fontId="3" fillId="2" borderId="0" xfId="0" applyNumberFormat="1" applyFont="1" applyFill="1" applyBorder="1" applyAlignment="1">
      <alignment horizontal="center" wrapText="1"/>
    </xf>
    <xf numFmtId="167" fontId="18" fillId="0" borderId="8" xfId="0" applyNumberFormat="1" applyFont="1" applyFill="1" applyBorder="1" applyAlignment="1">
      <alignment horizontal="center" vertical="center"/>
    </xf>
    <xf numFmtId="170" fontId="28" fillId="0" borderId="8" xfId="0" applyNumberFormat="1" applyFont="1" applyFill="1" applyBorder="1" applyAlignment="1">
      <alignment horizontal="center" vertical="center"/>
    </xf>
    <xf numFmtId="170" fontId="6" fillId="0" borderId="8" xfId="0" applyNumberFormat="1" applyFont="1" applyFill="1" applyBorder="1" applyAlignment="1">
      <alignment horizontal="center" vertical="center"/>
    </xf>
    <xf numFmtId="170" fontId="18" fillId="0" borderId="8" xfId="0" applyNumberFormat="1" applyFont="1" applyFill="1" applyBorder="1" applyAlignment="1">
      <alignment horizontal="center" vertical="center"/>
    </xf>
    <xf numFmtId="170" fontId="6" fillId="0" borderId="8" xfId="0" applyNumberFormat="1" applyFont="1" applyFill="1" applyBorder="1" applyAlignment="1">
      <alignment horizontal="center" vertical="center" wrapText="1"/>
    </xf>
    <xf numFmtId="170" fontId="18" fillId="0" borderId="8" xfId="0" applyNumberFormat="1" applyFont="1" applyFill="1" applyBorder="1" applyAlignment="1">
      <alignment horizontal="right" vertical="center"/>
    </xf>
    <xf numFmtId="177" fontId="0" fillId="0" borderId="0" xfId="0" applyNumberFormat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50" xfId="0" applyFont="1" applyBorder="1" applyAlignment="1">
      <alignment vertical="center"/>
    </xf>
    <xf numFmtId="164" fontId="3" fillId="0" borderId="0" xfId="0" applyNumberFormat="1" applyFont="1"/>
    <xf numFmtId="173" fontId="11" fillId="0" borderId="35" xfId="0" applyNumberFormat="1" applyFont="1" applyFill="1" applyBorder="1" applyAlignment="1">
      <alignment horizontal="center" vertical="center" wrapText="1"/>
    </xf>
    <xf numFmtId="174" fontId="11" fillId="0" borderId="35" xfId="0" applyNumberFormat="1" applyFont="1" applyFill="1" applyBorder="1" applyAlignment="1">
      <alignment horizontal="center" vertical="center" wrapText="1"/>
    </xf>
    <xf numFmtId="4" fontId="11" fillId="0" borderId="62" xfId="0" applyNumberFormat="1" applyFont="1" applyFill="1" applyBorder="1" applyAlignment="1">
      <alignment horizontal="center" vertical="center" wrapText="1"/>
    </xf>
    <xf numFmtId="49" fontId="11" fillId="2" borderId="25" xfId="0" applyNumberFormat="1" applyFont="1" applyFill="1" applyBorder="1" applyAlignment="1">
      <alignment horizontal="center" vertical="center" wrapText="1"/>
    </xf>
    <xf numFmtId="4" fontId="11" fillId="0" borderId="63" xfId="0" applyNumberFormat="1" applyFont="1" applyFill="1" applyBorder="1" applyAlignment="1">
      <alignment horizontal="center" vertical="center" wrapText="1"/>
    </xf>
    <xf numFmtId="4" fontId="11" fillId="0" borderId="27" xfId="0" applyNumberFormat="1" applyFont="1" applyFill="1" applyBorder="1" applyAlignment="1">
      <alignment horizontal="center" vertical="center" wrapText="1"/>
    </xf>
    <xf numFmtId="10" fontId="11" fillId="0" borderId="27" xfId="0" applyNumberFormat="1" applyFont="1" applyFill="1" applyBorder="1" applyAlignment="1">
      <alignment horizontal="center" vertical="center" wrapText="1"/>
    </xf>
    <xf numFmtId="0" fontId="3" fillId="9" borderId="6" xfId="0" applyFont="1" applyFill="1" applyBorder="1"/>
    <xf numFmtId="0" fontId="3" fillId="9" borderId="7" xfId="0" applyFont="1" applyFill="1" applyBorder="1"/>
    <xf numFmtId="0" fontId="3" fillId="9" borderId="6" xfId="0" applyFont="1" applyFill="1" applyBorder="1" applyAlignment="1">
      <alignment vertical="center"/>
    </xf>
    <xf numFmtId="0" fontId="3" fillId="9" borderId="52" xfId="0" applyFont="1" applyFill="1" applyBorder="1"/>
    <xf numFmtId="175" fontId="11" fillId="0" borderId="34" xfId="0" applyNumberFormat="1" applyFont="1" applyFill="1" applyBorder="1" applyAlignment="1">
      <alignment horizontal="center" vertical="center" wrapText="1"/>
    </xf>
    <xf numFmtId="174" fontId="11" fillId="0" borderId="34" xfId="0" applyNumberFormat="1" applyFont="1" applyFill="1" applyBorder="1" applyAlignment="1">
      <alignment horizontal="center" vertical="center" wrapText="1"/>
    </xf>
    <xf numFmtId="176" fontId="11" fillId="0" borderId="34" xfId="0" applyNumberFormat="1" applyFont="1" applyFill="1" applyBorder="1" applyAlignment="1">
      <alignment horizontal="center" vertical="center" wrapText="1"/>
    </xf>
    <xf numFmtId="175" fontId="11" fillId="2" borderId="34" xfId="0" applyNumberFormat="1" applyFont="1" applyFill="1" applyBorder="1" applyAlignment="1">
      <alignment horizontal="center" vertical="center" wrapText="1"/>
    </xf>
    <xf numFmtId="174" fontId="11" fillId="2" borderId="34" xfId="0" applyNumberFormat="1" applyFont="1" applyFill="1" applyBorder="1" applyAlignment="1">
      <alignment horizontal="center" vertical="center" wrapText="1"/>
    </xf>
    <xf numFmtId="175" fontId="10" fillId="9" borderId="35" xfId="0" applyNumberFormat="1" applyFont="1" applyFill="1" applyBorder="1" applyAlignment="1">
      <alignment horizontal="center" vertical="center" wrapText="1"/>
    </xf>
    <xf numFmtId="175" fontId="10" fillId="9" borderId="34" xfId="0" applyNumberFormat="1" applyFont="1" applyFill="1" applyBorder="1" applyAlignment="1">
      <alignment horizontal="center" vertical="center" wrapText="1"/>
    </xf>
    <xf numFmtId="174" fontId="3" fillId="2" borderId="0" xfId="0" applyNumberFormat="1" applyFont="1" applyFill="1"/>
    <xf numFmtId="175" fontId="12" fillId="2" borderId="0" xfId="0" applyNumberFormat="1" applyFont="1" applyFill="1"/>
    <xf numFmtId="49" fontId="10" fillId="0" borderId="8" xfId="0" applyNumberFormat="1" applyFont="1" applyFill="1" applyBorder="1" applyAlignment="1">
      <alignment horizontal="left" vertical="center" wrapText="1"/>
    </xf>
    <xf numFmtId="4" fontId="10" fillId="0" borderId="38" xfId="0" applyNumberFormat="1" applyFont="1" applyFill="1" applyBorder="1" applyAlignment="1">
      <alignment horizontal="center" vertical="center" wrapText="1"/>
    </xf>
    <xf numFmtId="4" fontId="7" fillId="3" borderId="0" xfId="0" applyNumberFormat="1" applyFont="1" applyFill="1" applyAlignment="1">
      <alignment vertical="center"/>
    </xf>
    <xf numFmtId="169" fontId="7" fillId="3" borderId="0" xfId="0" applyNumberFormat="1" applyFont="1" applyFill="1" applyAlignment="1">
      <alignment vertical="center"/>
    </xf>
    <xf numFmtId="0" fontId="7" fillId="0" borderId="0" xfId="0" applyFont="1" applyFill="1" applyBorder="1"/>
    <xf numFmtId="0" fontId="7" fillId="0" borderId="0" xfId="0" applyFont="1" applyFill="1"/>
    <xf numFmtId="0" fontId="33" fillId="0" borderId="13" xfId="0" applyFont="1" applyFill="1" applyBorder="1" applyAlignment="1">
      <alignment vertical="center"/>
    </xf>
    <xf numFmtId="2" fontId="7" fillId="2" borderId="13" xfId="0" applyNumberFormat="1" applyFont="1" applyFill="1" applyBorder="1" applyAlignment="1">
      <alignment horizontal="center" wrapText="1"/>
    </xf>
    <xf numFmtId="2" fontId="7" fillId="2" borderId="0" xfId="0" applyNumberFormat="1" applyFont="1" applyFill="1" applyBorder="1" applyAlignment="1">
      <alignment horizontal="center" wrapText="1"/>
    </xf>
    <xf numFmtId="4" fontId="3" fillId="2" borderId="0" xfId="0" applyNumberFormat="1" applyFont="1" applyFill="1" applyAlignment="1">
      <alignment horizontal="center" vertical="center"/>
    </xf>
    <xf numFmtId="167" fontId="18" fillId="0" borderId="8" xfId="0" applyNumberFormat="1" applyFont="1" applyFill="1" applyBorder="1" applyAlignment="1">
      <alignment horizontal="right" vertical="center"/>
    </xf>
    <xf numFmtId="171" fontId="4" fillId="2" borderId="8" xfId="0" applyNumberFormat="1" applyFont="1" applyFill="1" applyBorder="1" applyAlignment="1">
      <alignment horizontal="center" vertical="center" wrapText="1"/>
    </xf>
    <xf numFmtId="171" fontId="4" fillId="0" borderId="8" xfId="0" applyNumberFormat="1" applyFont="1" applyFill="1" applyBorder="1" applyAlignment="1">
      <alignment horizontal="center" wrapText="1"/>
    </xf>
    <xf numFmtId="172" fontId="4" fillId="2" borderId="8" xfId="0" applyNumberFormat="1" applyFont="1" applyFill="1" applyBorder="1" applyAlignment="1">
      <alignment horizontal="center" vertical="center" wrapText="1"/>
    </xf>
    <xf numFmtId="174" fontId="8" fillId="5" borderId="5" xfId="0" applyNumberFormat="1" applyFont="1" applyFill="1" applyBorder="1" applyAlignment="1">
      <alignment horizontal="center" vertical="center"/>
    </xf>
    <xf numFmtId="174" fontId="8" fillId="16" borderId="39" xfId="0" applyNumberFormat="1" applyFont="1" applyFill="1" applyBorder="1" applyAlignment="1">
      <alignment horizontal="center" vertical="center"/>
    </xf>
    <xf numFmtId="174" fontId="10" fillId="0" borderId="32" xfId="0" applyNumberFormat="1" applyFont="1" applyFill="1" applyBorder="1" applyAlignment="1">
      <alignment horizontal="center" vertical="center" wrapText="1"/>
    </xf>
    <xf numFmtId="174" fontId="10" fillId="0" borderId="35" xfId="0" applyNumberFormat="1" applyFont="1" applyFill="1" applyBorder="1" applyAlignment="1">
      <alignment horizontal="center" vertical="center" wrapText="1"/>
    </xf>
    <xf numFmtId="174" fontId="10" fillId="2" borderId="35" xfId="0" applyNumberFormat="1" applyFont="1" applyFill="1" applyBorder="1" applyAlignment="1">
      <alignment horizontal="center" vertical="center" wrapText="1"/>
    </xf>
    <xf numFmtId="174" fontId="11" fillId="0" borderId="39" xfId="0" applyNumberFormat="1" applyFont="1" applyFill="1" applyBorder="1" applyAlignment="1">
      <alignment horizontal="center" vertical="center" wrapText="1"/>
    </xf>
    <xf numFmtId="174" fontId="11" fillId="2" borderId="39" xfId="0" applyNumberFormat="1" applyFont="1" applyFill="1" applyBorder="1" applyAlignment="1">
      <alignment horizontal="center" vertical="center" wrapText="1"/>
    </xf>
    <xf numFmtId="174" fontId="10" fillId="2" borderId="32" xfId="0" applyNumberFormat="1" applyFont="1" applyFill="1" applyBorder="1" applyAlignment="1">
      <alignment horizontal="center" vertical="center" wrapText="1"/>
    </xf>
    <xf numFmtId="174" fontId="10" fillId="0" borderId="62" xfId="0" applyNumberFormat="1" applyFont="1" applyFill="1" applyBorder="1" applyAlignment="1">
      <alignment horizontal="center" vertical="center" wrapText="1"/>
    </xf>
    <xf numFmtId="174" fontId="11" fillId="0" borderId="62" xfId="0" applyNumberFormat="1" applyFont="1" applyFill="1" applyBorder="1" applyAlignment="1">
      <alignment horizontal="center" vertical="center" wrapText="1"/>
    </xf>
    <xf numFmtId="174" fontId="10" fillId="0" borderId="34" xfId="0" applyNumberFormat="1" applyFont="1" applyFill="1" applyBorder="1" applyAlignment="1">
      <alignment horizontal="center" vertical="center" wrapText="1"/>
    </xf>
    <xf numFmtId="174" fontId="11" fillId="0" borderId="40" xfId="0" applyNumberFormat="1" applyFont="1" applyFill="1" applyBorder="1" applyAlignment="1">
      <alignment horizontal="center" vertical="center" wrapText="1"/>
    </xf>
    <xf numFmtId="174" fontId="10" fillId="2" borderId="5" xfId="0" applyNumberFormat="1" applyFont="1" applyFill="1" applyBorder="1" applyAlignment="1">
      <alignment horizontal="center" vertical="center" wrapText="1"/>
    </xf>
    <xf numFmtId="174" fontId="11" fillId="0" borderId="45" xfId="0" applyNumberFormat="1" applyFont="1" applyFill="1" applyBorder="1" applyAlignment="1">
      <alignment horizontal="center" vertical="center" wrapText="1"/>
    </xf>
    <xf numFmtId="174" fontId="10" fillId="0" borderId="23" xfId="0" applyNumberFormat="1" applyFont="1" applyFill="1" applyBorder="1" applyAlignment="1">
      <alignment horizontal="center" vertical="center" wrapText="1"/>
    </xf>
    <xf numFmtId="174" fontId="11" fillId="0" borderId="54" xfId="0" applyNumberFormat="1" applyFont="1" applyFill="1" applyBorder="1" applyAlignment="1">
      <alignment horizontal="center" vertical="center" wrapText="1"/>
    </xf>
    <xf numFmtId="174" fontId="8" fillId="5" borderId="32" xfId="0" applyNumberFormat="1" applyFont="1" applyFill="1" applyBorder="1" applyAlignment="1">
      <alignment horizontal="center" vertical="center" wrapText="1"/>
    </xf>
    <xf numFmtId="174" fontId="8" fillId="2" borderId="35" xfId="0" applyNumberFormat="1" applyFont="1" applyFill="1" applyBorder="1" applyAlignment="1">
      <alignment horizontal="center" vertical="center" wrapText="1"/>
    </xf>
    <xf numFmtId="174" fontId="7" fillId="2" borderId="35" xfId="0" applyNumberFormat="1" applyFont="1" applyFill="1" applyBorder="1" applyAlignment="1">
      <alignment horizontal="center" vertical="center" wrapText="1"/>
    </xf>
    <xf numFmtId="174" fontId="11" fillId="2" borderId="54" xfId="0" applyNumberFormat="1" applyFont="1" applyFill="1" applyBorder="1" applyAlignment="1">
      <alignment horizontal="center" vertical="center" wrapText="1"/>
    </xf>
    <xf numFmtId="174" fontId="11" fillId="0" borderId="38" xfId="0" applyNumberFormat="1" applyFont="1" applyFill="1" applyBorder="1" applyAlignment="1">
      <alignment horizontal="center" vertical="center" wrapText="1"/>
    </xf>
    <xf numFmtId="174" fontId="10" fillId="2" borderId="34" xfId="0" applyNumberFormat="1" applyFont="1" applyFill="1" applyBorder="1" applyAlignment="1">
      <alignment horizontal="center" vertical="center" wrapText="1"/>
    </xf>
    <xf numFmtId="173" fontId="11" fillId="2" borderId="34" xfId="0" applyNumberFormat="1" applyFont="1" applyFill="1" applyBorder="1" applyAlignment="1">
      <alignment horizontal="center" vertical="center" wrapText="1"/>
    </xf>
    <xf numFmtId="175" fontId="11" fillId="0" borderId="61" xfId="0" applyNumberFormat="1" applyFont="1" applyFill="1" applyBorder="1" applyAlignment="1">
      <alignment horizontal="center" vertical="center" wrapText="1"/>
    </xf>
    <xf numFmtId="174" fontId="11" fillId="2" borderId="38" xfId="0" applyNumberFormat="1" applyFont="1" applyFill="1" applyBorder="1" applyAlignment="1">
      <alignment horizontal="center" vertical="center" wrapText="1"/>
    </xf>
    <xf numFmtId="173" fontId="11" fillId="0" borderId="34" xfId="0" applyNumberFormat="1" applyFont="1" applyFill="1" applyBorder="1" applyAlignment="1">
      <alignment horizontal="center" vertical="center" wrapText="1"/>
    </xf>
    <xf numFmtId="164" fontId="6" fillId="2" borderId="8" xfId="2" applyNumberFormat="1" applyFont="1" applyFill="1" applyBorder="1" applyAlignment="1" applyProtection="1">
      <alignment horizontal="center" vertical="center" wrapText="1"/>
      <protection locked="0"/>
    </xf>
    <xf numFmtId="173" fontId="15" fillId="14" borderId="12" xfId="0" applyNumberFormat="1" applyFont="1" applyFill="1" applyBorder="1" applyAlignment="1">
      <alignment horizontal="center" vertical="center" wrapText="1"/>
    </xf>
    <xf numFmtId="170" fontId="0" fillId="0" borderId="0" xfId="0" applyNumberFormat="1"/>
    <xf numFmtId="177" fontId="0" fillId="0" borderId="0" xfId="0" applyNumberFormat="1"/>
    <xf numFmtId="2" fontId="15" fillId="0" borderId="8" xfId="0" applyNumberFormat="1" applyFont="1" applyBorder="1" applyAlignment="1">
      <alignment horizontal="center" vertical="center" wrapText="1"/>
    </xf>
    <xf numFmtId="175" fontId="11" fillId="0" borderId="35" xfId="0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vertical="center" wrapText="1"/>
    </xf>
    <xf numFmtId="2" fontId="3" fillId="2" borderId="0" xfId="0" applyNumberFormat="1" applyFont="1" applyFill="1" applyBorder="1" applyAlignment="1">
      <alignment vertical="center" wrapText="1"/>
    </xf>
    <xf numFmtId="0" fontId="34" fillId="17" borderId="0" xfId="0" applyFont="1" applyFill="1" applyAlignment="1">
      <alignment horizontal="center" vertical="center"/>
    </xf>
    <xf numFmtId="0" fontId="34" fillId="17" borderId="0" xfId="0" applyFont="1" applyFill="1"/>
    <xf numFmtId="174" fontId="34" fillId="17" borderId="0" xfId="0" applyNumberFormat="1" applyFont="1" applyFill="1" applyAlignment="1">
      <alignment horizontal="center" vertical="center"/>
    </xf>
    <xf numFmtId="49" fontId="34" fillId="17" borderId="0" xfId="0" applyNumberFormat="1" applyFont="1" applyFill="1" applyAlignment="1">
      <alignment horizontal="center" vertical="center"/>
    </xf>
    <xf numFmtId="4" fontId="34" fillId="17" borderId="0" xfId="0" applyNumberFormat="1" applyFont="1" applyFill="1"/>
    <xf numFmtId="2" fontId="34" fillId="17" borderId="0" xfId="0" applyNumberFormat="1" applyFont="1" applyFill="1"/>
    <xf numFmtId="174" fontId="34" fillId="17" borderId="0" xfId="0" applyNumberFormat="1" applyFont="1" applyFill="1"/>
    <xf numFmtId="0" fontId="15" fillId="0" borderId="0" xfId="0" applyFont="1" applyAlignment="1">
      <alignment horizontal="center"/>
    </xf>
    <xf numFmtId="0" fontId="3" fillId="0" borderId="0" xfId="0" applyFont="1" applyAlignment="1">
      <alignment horizontal="center" vertical="distributed" wrapText="1"/>
    </xf>
    <xf numFmtId="0" fontId="26" fillId="0" borderId="0" xfId="0" applyFont="1" applyAlignment="1">
      <alignment horizontal="center"/>
    </xf>
    <xf numFmtId="0" fontId="6" fillId="3" borderId="8" xfId="0" applyFont="1" applyFill="1" applyBorder="1" applyAlignment="1">
      <alignment vertical="top"/>
    </xf>
    <xf numFmtId="0" fontId="7" fillId="0" borderId="46" xfId="0" applyFont="1" applyFill="1" applyBorder="1" applyAlignment="1">
      <alignment horizontal="center" vertical="justify"/>
    </xf>
    <xf numFmtId="0" fontId="7" fillId="0" borderId="0" xfId="0" applyFont="1" applyAlignment="1">
      <alignment horizontal="center" vertical="distributed"/>
    </xf>
    <xf numFmtId="2" fontId="19" fillId="0" borderId="0" xfId="0" applyNumberFormat="1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right" vertical="center"/>
    </xf>
    <xf numFmtId="2" fontId="3" fillId="2" borderId="8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3" fillId="0" borderId="0" xfId="0" applyFont="1" applyAlignment="1">
      <alignment horizontal="right" wrapText="1"/>
    </xf>
    <xf numFmtId="0" fontId="3" fillId="2" borderId="8" xfId="0" applyFont="1" applyFill="1" applyBorder="1" applyAlignment="1">
      <alignment horizontal="center" vertical="center" wrapText="1"/>
    </xf>
    <xf numFmtId="0" fontId="19" fillId="0" borderId="46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vertical="center" wrapText="1"/>
    </xf>
    <xf numFmtId="10" fontId="10" fillId="3" borderId="23" xfId="0" applyNumberFormat="1" applyFont="1" applyFill="1" applyBorder="1" applyAlignment="1">
      <alignment horizontal="center" vertical="center" wrapText="1"/>
    </xf>
    <xf numFmtId="10" fontId="10" fillId="3" borderId="28" xfId="0" applyNumberFormat="1" applyFont="1" applyFill="1" applyBorder="1" applyAlignment="1">
      <alignment horizontal="center" vertical="center" wrapText="1"/>
    </xf>
    <xf numFmtId="10" fontId="7" fillId="3" borderId="22" xfId="0" applyNumberFormat="1" applyFont="1" applyFill="1" applyBorder="1" applyAlignment="1">
      <alignment horizontal="center" vertical="center" wrapText="1"/>
    </xf>
    <xf numFmtId="10" fontId="7" fillId="3" borderId="27" xfId="0" applyNumberFormat="1" applyFont="1" applyFill="1" applyBorder="1" applyAlignment="1">
      <alignment horizontal="center" vertical="center" wrapText="1"/>
    </xf>
    <xf numFmtId="10" fontId="7" fillId="3" borderId="23" xfId="0" applyNumberFormat="1" applyFont="1" applyFill="1" applyBorder="1" applyAlignment="1">
      <alignment horizontal="center" vertical="center" wrapText="1"/>
    </xf>
    <xf numFmtId="10" fontId="7" fillId="3" borderId="28" xfId="0" applyNumberFormat="1" applyFont="1" applyFill="1" applyBorder="1" applyAlignment="1">
      <alignment horizontal="center" vertical="center" wrapText="1"/>
    </xf>
    <xf numFmtId="4" fontId="10" fillId="3" borderId="23" xfId="0" applyNumberFormat="1" applyFont="1" applyFill="1" applyBorder="1" applyAlignment="1">
      <alignment horizontal="center" vertical="center" wrapText="1"/>
    </xf>
    <xf numFmtId="4" fontId="10" fillId="3" borderId="28" xfId="0" applyNumberFormat="1" applyFont="1" applyFill="1" applyBorder="1" applyAlignment="1">
      <alignment horizontal="center" vertical="center" wrapText="1"/>
    </xf>
    <xf numFmtId="4" fontId="7" fillId="3" borderId="22" xfId="0" applyNumberFormat="1" applyFont="1" applyFill="1" applyBorder="1" applyAlignment="1">
      <alignment horizontal="center" vertical="center" wrapText="1"/>
    </xf>
    <xf numFmtId="4" fontId="7" fillId="3" borderId="27" xfId="0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2" fontId="4" fillId="2" borderId="0" xfId="0" applyNumberFormat="1" applyFont="1" applyFill="1" applyBorder="1" applyAlignment="1">
      <alignment horizontal="center" vertical="center" wrapText="1"/>
    </xf>
    <xf numFmtId="2" fontId="6" fillId="2" borderId="0" xfId="0" applyNumberFormat="1" applyFont="1" applyFill="1" applyBorder="1" applyAlignment="1">
      <alignment horizontal="center" vertical="center" wrapText="1"/>
    </xf>
    <xf numFmtId="175" fontId="10" fillId="3" borderId="23" xfId="0" applyNumberFormat="1" applyFont="1" applyFill="1" applyBorder="1" applyAlignment="1">
      <alignment horizontal="center" vertical="center" wrapText="1"/>
    </xf>
    <xf numFmtId="175" fontId="10" fillId="3" borderId="28" xfId="0" applyNumberFormat="1" applyFont="1" applyFill="1" applyBorder="1" applyAlignment="1">
      <alignment horizontal="center" vertical="center" wrapText="1"/>
    </xf>
    <xf numFmtId="4" fontId="7" fillId="3" borderId="23" xfId="0" applyNumberFormat="1" applyFont="1" applyFill="1" applyBorder="1" applyAlignment="1">
      <alignment horizontal="center" vertical="center" wrapText="1"/>
    </xf>
    <xf numFmtId="4" fontId="7" fillId="3" borderId="28" xfId="0" applyNumberFormat="1" applyFont="1" applyFill="1" applyBorder="1" applyAlignment="1">
      <alignment horizontal="center" vertical="center" wrapText="1"/>
    </xf>
    <xf numFmtId="49" fontId="7" fillId="3" borderId="20" xfId="0" applyNumberFormat="1" applyFont="1" applyFill="1" applyBorder="1" applyAlignment="1">
      <alignment horizontal="center" vertical="center" wrapText="1"/>
    </xf>
    <xf numFmtId="49" fontId="7" fillId="3" borderId="25" xfId="0" applyNumberFormat="1" applyFont="1" applyFill="1" applyBorder="1" applyAlignment="1">
      <alignment horizontal="center" vertical="center" wrapText="1"/>
    </xf>
    <xf numFmtId="49" fontId="11" fillId="3" borderId="20" xfId="0" applyNumberFormat="1" applyFont="1" applyFill="1" applyBorder="1" applyAlignment="1">
      <alignment horizontal="center" vertical="center" wrapText="1"/>
    </xf>
    <xf numFmtId="49" fontId="11" fillId="3" borderId="25" xfId="0" applyNumberFormat="1" applyFont="1" applyFill="1" applyBorder="1" applyAlignment="1">
      <alignment horizontal="center" vertical="center" wrapText="1"/>
    </xf>
    <xf numFmtId="49" fontId="11" fillId="3" borderId="21" xfId="0" applyNumberFormat="1" applyFont="1" applyFill="1" applyBorder="1" applyAlignment="1">
      <alignment horizontal="center" vertical="center" wrapText="1"/>
    </xf>
    <xf numFmtId="49" fontId="11" fillId="3" borderId="2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49" fontId="10" fillId="3" borderId="20" xfId="0" applyNumberFormat="1" applyFont="1" applyFill="1" applyBorder="1" applyAlignment="1">
      <alignment horizontal="center" vertical="center" wrapText="1"/>
    </xf>
    <xf numFmtId="49" fontId="10" fillId="3" borderId="25" xfId="0" applyNumberFormat="1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49" fontId="9" fillId="3" borderId="21" xfId="0" applyNumberFormat="1" applyFont="1" applyFill="1" applyBorder="1" applyAlignment="1">
      <alignment horizontal="center" vertical="center" wrapText="1"/>
    </xf>
    <xf numFmtId="49" fontId="9" fillId="3" borderId="26" xfId="0" applyNumberFormat="1" applyFont="1" applyFill="1" applyBorder="1" applyAlignment="1">
      <alignment horizontal="center" vertical="center" wrapText="1"/>
    </xf>
    <xf numFmtId="49" fontId="8" fillId="6" borderId="9" xfId="0" applyNumberFormat="1" applyFont="1" applyFill="1" applyBorder="1" applyAlignment="1">
      <alignment horizontal="center" vertical="center" wrapText="1"/>
    </xf>
    <xf numFmtId="49" fontId="8" fillId="6" borderId="10" xfId="0" applyNumberFormat="1" applyFont="1" applyFill="1" applyBorder="1" applyAlignment="1">
      <alignment horizontal="center" vertical="center" wrapText="1"/>
    </xf>
    <xf numFmtId="49" fontId="15" fillId="14" borderId="9" xfId="0" applyNumberFormat="1" applyFont="1" applyFill="1" applyBorder="1" applyAlignment="1">
      <alignment horizontal="center" vertical="center" wrapText="1"/>
    </xf>
    <xf numFmtId="49" fontId="15" fillId="14" borderId="10" xfId="0" applyNumberFormat="1" applyFont="1" applyFill="1" applyBorder="1" applyAlignment="1">
      <alignment horizontal="center" vertical="center" wrapText="1"/>
    </xf>
    <xf numFmtId="49" fontId="22" fillId="2" borderId="31" xfId="0" applyNumberFormat="1" applyFont="1" applyFill="1" applyBorder="1" applyAlignment="1">
      <alignment horizontal="center" vertical="center" wrapText="1"/>
    </xf>
    <xf numFmtId="49" fontId="22" fillId="2" borderId="46" xfId="0" applyNumberFormat="1" applyFont="1" applyFill="1" applyBorder="1" applyAlignment="1">
      <alignment horizontal="center" vertical="center" wrapText="1"/>
    </xf>
    <xf numFmtId="49" fontId="7" fillId="2" borderId="15" xfId="0" applyNumberFormat="1" applyFont="1" applyFill="1" applyBorder="1" applyAlignment="1">
      <alignment horizontal="center" vertical="center" wrapText="1"/>
    </xf>
    <xf numFmtId="49" fontId="7" fillId="2" borderId="30" xfId="0" applyNumberFormat="1" applyFont="1" applyFill="1" applyBorder="1" applyAlignment="1">
      <alignment horizontal="center" vertical="center" wrapText="1"/>
    </xf>
    <xf numFmtId="49" fontId="6" fillId="2" borderId="15" xfId="0" applyNumberFormat="1" applyFont="1" applyFill="1" applyBorder="1" applyAlignment="1">
      <alignment horizontal="center" vertical="center" wrapText="1"/>
    </xf>
    <xf numFmtId="49" fontId="6" fillId="2" borderId="30" xfId="0" applyNumberFormat="1" applyFont="1" applyFill="1" applyBorder="1" applyAlignment="1">
      <alignment horizontal="center" vertical="center" wrapText="1"/>
    </xf>
    <xf numFmtId="0" fontId="6" fillId="2" borderId="15" xfId="3" applyFont="1" applyFill="1" applyBorder="1" applyAlignment="1">
      <alignment horizontal="center" vertical="center"/>
    </xf>
    <xf numFmtId="0" fontId="6" fillId="2" borderId="30" xfId="3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center" vertical="center" wrapText="1"/>
    </xf>
    <xf numFmtId="49" fontId="6" fillId="2" borderId="52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18" fillId="2" borderId="15" xfId="0" applyNumberFormat="1" applyFont="1" applyFill="1" applyBorder="1" applyAlignment="1">
      <alignment horizontal="center" vertical="center" wrapText="1"/>
    </xf>
    <xf numFmtId="49" fontId="18" fillId="2" borderId="44" xfId="0" applyNumberFormat="1" applyFont="1" applyFill="1" applyBorder="1" applyAlignment="1">
      <alignment horizontal="center" vertical="center" wrapText="1"/>
    </xf>
    <xf numFmtId="49" fontId="18" fillId="2" borderId="30" xfId="0" applyNumberFormat="1" applyFont="1" applyFill="1" applyBorder="1" applyAlignment="1">
      <alignment horizontal="center" vertical="center" wrapText="1"/>
    </xf>
    <xf numFmtId="49" fontId="6" fillId="2" borderId="44" xfId="0" applyNumberFormat="1" applyFont="1" applyFill="1" applyBorder="1" applyAlignment="1">
      <alignment horizontal="center" vertical="center" wrapText="1"/>
    </xf>
    <xf numFmtId="166" fontId="4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center" vertical="center" wrapText="1"/>
    </xf>
    <xf numFmtId="49" fontId="3" fillId="2" borderId="0" xfId="0" applyNumberFormat="1" applyFont="1" applyFill="1" applyAlignment="1">
      <alignment vertical="center" wrapText="1"/>
    </xf>
    <xf numFmtId="166" fontId="4" fillId="2" borderId="0" xfId="0" applyNumberFormat="1" applyFont="1" applyFill="1" applyAlignment="1">
      <alignment horizontal="right"/>
    </xf>
    <xf numFmtId="166" fontId="4" fillId="2" borderId="0" xfId="0" applyNumberFormat="1" applyFont="1" applyFill="1" applyAlignment="1">
      <alignment horizont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2" fontId="19" fillId="2" borderId="0" xfId="0" applyNumberFormat="1" applyFont="1" applyFill="1" applyBorder="1" applyAlignment="1">
      <alignment horizontal="center" vertical="center" wrapText="1"/>
    </xf>
    <xf numFmtId="2" fontId="4" fillId="2" borderId="0" xfId="0" applyNumberFormat="1" applyFont="1" applyFill="1" applyBorder="1" applyAlignment="1">
      <alignment horizontal="right" vertical="center" wrapText="1"/>
    </xf>
    <xf numFmtId="0" fontId="5" fillId="2" borderId="0" xfId="0" applyFont="1" applyFill="1" applyAlignment="1">
      <alignment horizontal="left" vertical="top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49" fontId="9" fillId="3" borderId="20" xfId="0" applyNumberFormat="1" applyFont="1" applyFill="1" applyBorder="1" applyAlignment="1">
      <alignment horizontal="center" vertical="center" wrapText="1"/>
    </xf>
    <xf numFmtId="49" fontId="9" fillId="3" borderId="25" xfId="0" applyNumberFormat="1" applyFont="1" applyFill="1" applyBorder="1" applyAlignment="1">
      <alignment horizontal="center" vertical="center" wrapText="1"/>
    </xf>
    <xf numFmtId="4" fontId="10" fillId="3" borderId="21" xfId="0" applyNumberFormat="1" applyFont="1" applyFill="1" applyBorder="1" applyAlignment="1">
      <alignment horizontal="center" vertical="center" wrapText="1"/>
    </xf>
    <xf numFmtId="4" fontId="10" fillId="3" borderId="26" xfId="0" applyNumberFormat="1" applyFont="1" applyFill="1" applyBorder="1" applyAlignment="1">
      <alignment horizontal="center" vertical="center" wrapText="1"/>
    </xf>
    <xf numFmtId="4" fontId="10" fillId="3" borderId="22" xfId="0" applyNumberFormat="1" applyFont="1" applyFill="1" applyBorder="1" applyAlignment="1">
      <alignment horizontal="center" vertical="center" wrapText="1"/>
    </xf>
    <xf numFmtId="4" fontId="10" fillId="3" borderId="27" xfId="0" applyNumberFormat="1" applyFont="1" applyFill="1" applyBorder="1" applyAlignment="1">
      <alignment horizontal="center" vertical="center" wrapText="1"/>
    </xf>
    <xf numFmtId="174" fontId="10" fillId="3" borderId="23" xfId="0" applyNumberFormat="1" applyFont="1" applyFill="1" applyBorder="1" applyAlignment="1">
      <alignment horizontal="center" vertical="center" wrapText="1"/>
    </xf>
    <xf numFmtId="174" fontId="10" fillId="3" borderId="28" xfId="0" applyNumberFormat="1" applyFont="1" applyFill="1" applyBorder="1" applyAlignment="1">
      <alignment horizontal="center" vertical="center" wrapText="1"/>
    </xf>
    <xf numFmtId="2" fontId="3" fillId="2" borderId="13" xfId="0" applyNumberFormat="1" applyFont="1" applyFill="1" applyBorder="1" applyAlignment="1">
      <alignment horizontal="center" wrapText="1"/>
    </xf>
    <xf numFmtId="2" fontId="3" fillId="2" borderId="0" xfId="0" applyNumberFormat="1" applyFont="1" applyFill="1" applyBorder="1" applyAlignment="1">
      <alignment horizontal="center" wrapText="1"/>
    </xf>
    <xf numFmtId="174" fontId="7" fillId="3" borderId="23" xfId="0" applyNumberFormat="1" applyFont="1" applyFill="1" applyBorder="1" applyAlignment="1">
      <alignment horizontal="center" vertical="center" wrapText="1"/>
    </xf>
    <xf numFmtId="174" fontId="7" fillId="3" borderId="28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31" xfId="0" applyFont="1" applyFill="1" applyBorder="1" applyAlignment="1">
      <alignment horizontal="center" wrapText="1"/>
    </xf>
    <xf numFmtId="0" fontId="3" fillId="2" borderId="55" xfId="0" applyFont="1" applyFill="1" applyBorder="1" applyAlignment="1">
      <alignment horizontal="center" wrapText="1"/>
    </xf>
    <xf numFmtId="4" fontId="7" fillId="3" borderId="21" xfId="0" applyNumberFormat="1" applyFont="1" applyFill="1" applyBorder="1" applyAlignment="1">
      <alignment horizontal="center" vertical="center" wrapText="1"/>
    </xf>
    <xf numFmtId="4" fontId="7" fillId="3" borderId="26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vertical="top" wrapText="1"/>
    </xf>
    <xf numFmtId="0" fontId="7" fillId="2" borderId="52" xfId="0" applyFont="1" applyFill="1" applyBorder="1" applyAlignment="1">
      <alignment vertical="top" wrapText="1"/>
    </xf>
    <xf numFmtId="0" fontId="7" fillId="2" borderId="7" xfId="0" applyFont="1" applyFill="1" applyBorder="1" applyAlignment="1">
      <alignment vertical="top" wrapText="1"/>
    </xf>
    <xf numFmtId="0" fontId="3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6" fillId="2" borderId="46" xfId="0" applyFont="1" applyFill="1" applyBorder="1" applyAlignment="1">
      <alignment horizontal="center" wrapText="1"/>
    </xf>
    <xf numFmtId="0" fontId="7" fillId="2" borderId="15" xfId="0" applyFont="1" applyFill="1" applyBorder="1" applyAlignment="1">
      <alignment horizontal="center"/>
    </xf>
    <xf numFmtId="0" fontId="7" fillId="2" borderId="44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15" fillId="0" borderId="0" xfId="0" applyFont="1" applyAlignment="1">
      <alignment horizontal="center" wrapText="1"/>
    </xf>
    <xf numFmtId="0" fontId="24" fillId="0" borderId="0" xfId="0" applyFont="1" applyAlignment="1">
      <alignment horizontal="right" wrapText="1"/>
    </xf>
    <xf numFmtId="0" fontId="11" fillId="0" borderId="0" xfId="0" applyFont="1" applyAlignment="1">
      <alignment horizontal="center" wrapText="1"/>
    </xf>
    <xf numFmtId="0" fontId="0" fillId="0" borderId="0" xfId="0" applyAlignment="1"/>
  </cellXfs>
  <cellStyles count="4">
    <cellStyle name="Обычный" xfId="0" builtinId="0"/>
    <cellStyle name="Обычный 2" xfId="1"/>
    <cellStyle name="Обычный 3" xfId="3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"/>
  <sheetViews>
    <sheetView view="pageBreakPreview" zoomScale="60" zoomScaleNormal="100" workbookViewId="0">
      <selection activeCell="C2" sqref="C2:D2"/>
    </sheetView>
  </sheetViews>
  <sheetFormatPr defaultRowHeight="15"/>
  <cols>
    <col min="1" max="1" width="24.140625" customWidth="1"/>
    <col min="2" max="2" width="31.140625" customWidth="1"/>
    <col min="3" max="4" width="14.28515625" customWidth="1"/>
  </cols>
  <sheetData>
    <row r="1" spans="1:9" ht="15" customHeight="1">
      <c r="C1" s="608" t="s">
        <v>435</v>
      </c>
      <c r="D1" s="608"/>
    </row>
    <row r="2" spans="1:9" ht="81" customHeight="1">
      <c r="C2" s="609" t="s">
        <v>585</v>
      </c>
      <c r="D2" s="609"/>
      <c r="E2" s="270"/>
      <c r="F2" s="270"/>
      <c r="G2" s="270"/>
      <c r="H2" s="270"/>
      <c r="I2" s="270"/>
    </row>
    <row r="3" spans="1:9" ht="15.75">
      <c r="C3" s="610"/>
      <c r="D3" s="610"/>
    </row>
    <row r="6" spans="1:9" ht="63.75" customHeight="1">
      <c r="A6" s="196" t="s">
        <v>429</v>
      </c>
      <c r="B6" s="196" t="s">
        <v>430</v>
      </c>
      <c r="C6" s="188" t="s">
        <v>431</v>
      </c>
      <c r="D6" s="188" t="s">
        <v>568</v>
      </c>
    </row>
    <row r="7" spans="1:9" ht="55.5" customHeight="1">
      <c r="A7" s="193" t="s">
        <v>432</v>
      </c>
      <c r="B7" s="193" t="s">
        <v>433</v>
      </c>
      <c r="C7" s="194" t="s">
        <v>583</v>
      </c>
      <c r="D7" s="597">
        <v>-4279.6400000000003</v>
      </c>
    </row>
    <row r="8" spans="1:9" ht="55.5" customHeight="1">
      <c r="A8" s="193"/>
      <c r="B8" s="195" t="s">
        <v>434</v>
      </c>
      <c r="C8" s="194" t="s">
        <v>584</v>
      </c>
      <c r="D8" s="194" t="s">
        <v>580</v>
      </c>
    </row>
    <row r="9" spans="1:9" ht="15.75" customHeight="1">
      <c r="D9" s="181"/>
    </row>
  </sheetData>
  <mergeCells count="3">
    <mergeCell ref="C1:D1"/>
    <mergeCell ref="C2:D2"/>
    <mergeCell ref="C3:D3"/>
  </mergeCells>
  <pageMargins left="0.9055118110236221" right="0.31496062992125984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39" sqref="J39"/>
    </sheetView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64"/>
  <sheetViews>
    <sheetView view="pageBreakPreview" zoomScale="80" zoomScaleNormal="100" zoomScaleSheetLayoutView="80" workbookViewId="0">
      <selection activeCell="F2" sqref="F2:G2"/>
    </sheetView>
  </sheetViews>
  <sheetFormatPr defaultRowHeight="15" outlineLevelRow="1"/>
  <cols>
    <col min="1" max="1" width="23.85546875" customWidth="1"/>
    <col min="2" max="2" width="33.5703125" customWidth="1"/>
    <col min="3" max="3" width="13.5703125" hidden="1" customWidth="1"/>
    <col min="4" max="4" width="18.7109375" style="213" customWidth="1"/>
    <col min="5" max="5" width="19.28515625" style="213" hidden="1" customWidth="1"/>
    <col min="6" max="6" width="18.85546875" style="213" customWidth="1"/>
    <col min="7" max="7" width="11.7109375" style="375" customWidth="1" collapsed="1"/>
    <col min="8" max="8" width="13.42578125" hidden="1" customWidth="1" collapsed="1"/>
    <col min="9" max="9" width="14" hidden="1" customWidth="1"/>
    <col min="10" max="10" width="13.5703125" hidden="1" customWidth="1"/>
    <col min="12" max="13" width="13.5703125" bestFit="1" customWidth="1"/>
    <col min="15" max="15" width="14.28515625" customWidth="1"/>
    <col min="16" max="16" width="13.5703125" bestFit="1" customWidth="1"/>
    <col min="254" max="254" width="21.85546875" customWidth="1"/>
    <col min="255" max="255" width="44.42578125" customWidth="1"/>
    <col min="256" max="256" width="13.5703125" customWidth="1"/>
    <col min="257" max="258" width="0" hidden="1" customWidth="1"/>
    <col min="259" max="259" width="14.5703125" customWidth="1"/>
    <col min="260" max="260" width="11.140625" customWidth="1"/>
    <col min="261" max="261" width="12.85546875" customWidth="1"/>
    <col min="262" max="262" width="9.140625" customWidth="1"/>
    <col min="263" max="263" width="12.140625" customWidth="1"/>
    <col min="264" max="264" width="13.42578125" customWidth="1"/>
    <col min="265" max="265" width="14" bestFit="1" customWidth="1"/>
    <col min="510" max="510" width="21.85546875" customWidth="1"/>
    <col min="511" max="511" width="44.42578125" customWidth="1"/>
    <col min="512" max="512" width="13.5703125" customWidth="1"/>
    <col min="513" max="514" width="0" hidden="1" customWidth="1"/>
    <col min="515" max="515" width="14.5703125" customWidth="1"/>
    <col min="516" max="516" width="11.140625" customWidth="1"/>
    <col min="517" max="517" width="12.85546875" customWidth="1"/>
    <col min="518" max="518" width="9.140625" customWidth="1"/>
    <col min="519" max="519" width="12.140625" customWidth="1"/>
    <col min="520" max="520" width="13.42578125" customWidth="1"/>
    <col min="521" max="521" width="14" bestFit="1" customWidth="1"/>
    <col min="766" max="766" width="21.85546875" customWidth="1"/>
    <col min="767" max="767" width="44.42578125" customWidth="1"/>
    <col min="768" max="768" width="13.5703125" customWidth="1"/>
    <col min="769" max="770" width="0" hidden="1" customWidth="1"/>
    <col min="771" max="771" width="14.5703125" customWidth="1"/>
    <col min="772" max="772" width="11.140625" customWidth="1"/>
    <col min="773" max="773" width="12.85546875" customWidth="1"/>
    <col min="774" max="774" width="9.140625" customWidth="1"/>
    <col min="775" max="775" width="12.140625" customWidth="1"/>
    <col min="776" max="776" width="13.42578125" customWidth="1"/>
    <col min="777" max="777" width="14" bestFit="1" customWidth="1"/>
    <col min="1022" max="1022" width="21.85546875" customWidth="1"/>
    <col min="1023" max="1023" width="44.42578125" customWidth="1"/>
    <col min="1024" max="1024" width="13.5703125" customWidth="1"/>
    <col min="1025" max="1026" width="0" hidden="1" customWidth="1"/>
    <col min="1027" max="1027" width="14.5703125" customWidth="1"/>
    <col min="1028" max="1028" width="11.140625" customWidth="1"/>
    <col min="1029" max="1029" width="12.85546875" customWidth="1"/>
    <col min="1030" max="1030" width="9.140625" customWidth="1"/>
    <col min="1031" max="1031" width="12.140625" customWidth="1"/>
    <col min="1032" max="1032" width="13.42578125" customWidth="1"/>
    <col min="1033" max="1033" width="14" bestFit="1" customWidth="1"/>
    <col min="1278" max="1278" width="21.85546875" customWidth="1"/>
    <col min="1279" max="1279" width="44.42578125" customWidth="1"/>
    <col min="1280" max="1280" width="13.5703125" customWidth="1"/>
    <col min="1281" max="1282" width="0" hidden="1" customWidth="1"/>
    <col min="1283" max="1283" width="14.5703125" customWidth="1"/>
    <col min="1284" max="1284" width="11.140625" customWidth="1"/>
    <col min="1285" max="1285" width="12.85546875" customWidth="1"/>
    <col min="1286" max="1286" width="9.140625" customWidth="1"/>
    <col min="1287" max="1287" width="12.140625" customWidth="1"/>
    <col min="1288" max="1288" width="13.42578125" customWidth="1"/>
    <col min="1289" max="1289" width="14" bestFit="1" customWidth="1"/>
    <col min="1534" max="1534" width="21.85546875" customWidth="1"/>
    <col min="1535" max="1535" width="44.42578125" customWidth="1"/>
    <col min="1536" max="1536" width="13.5703125" customWidth="1"/>
    <col min="1537" max="1538" width="0" hidden="1" customWidth="1"/>
    <col min="1539" max="1539" width="14.5703125" customWidth="1"/>
    <col min="1540" max="1540" width="11.140625" customWidth="1"/>
    <col min="1541" max="1541" width="12.85546875" customWidth="1"/>
    <col min="1542" max="1542" width="9.140625" customWidth="1"/>
    <col min="1543" max="1543" width="12.140625" customWidth="1"/>
    <col min="1544" max="1544" width="13.42578125" customWidth="1"/>
    <col min="1545" max="1545" width="14" bestFit="1" customWidth="1"/>
    <col min="1790" max="1790" width="21.85546875" customWidth="1"/>
    <col min="1791" max="1791" width="44.42578125" customWidth="1"/>
    <col min="1792" max="1792" width="13.5703125" customWidth="1"/>
    <col min="1793" max="1794" width="0" hidden="1" customWidth="1"/>
    <col min="1795" max="1795" width="14.5703125" customWidth="1"/>
    <col min="1796" max="1796" width="11.140625" customWidth="1"/>
    <col min="1797" max="1797" width="12.85546875" customWidth="1"/>
    <col min="1798" max="1798" width="9.140625" customWidth="1"/>
    <col min="1799" max="1799" width="12.140625" customWidth="1"/>
    <col min="1800" max="1800" width="13.42578125" customWidth="1"/>
    <col min="1801" max="1801" width="14" bestFit="1" customWidth="1"/>
    <col min="2046" max="2046" width="21.85546875" customWidth="1"/>
    <col min="2047" max="2047" width="44.42578125" customWidth="1"/>
    <col min="2048" max="2048" width="13.5703125" customWidth="1"/>
    <col min="2049" max="2050" width="0" hidden="1" customWidth="1"/>
    <col min="2051" max="2051" width="14.5703125" customWidth="1"/>
    <col min="2052" max="2052" width="11.140625" customWidth="1"/>
    <col min="2053" max="2053" width="12.85546875" customWidth="1"/>
    <col min="2054" max="2054" width="9.140625" customWidth="1"/>
    <col min="2055" max="2055" width="12.140625" customWidth="1"/>
    <col min="2056" max="2056" width="13.42578125" customWidth="1"/>
    <col min="2057" max="2057" width="14" bestFit="1" customWidth="1"/>
    <col min="2302" max="2302" width="21.85546875" customWidth="1"/>
    <col min="2303" max="2303" width="44.42578125" customWidth="1"/>
    <col min="2304" max="2304" width="13.5703125" customWidth="1"/>
    <col min="2305" max="2306" width="0" hidden="1" customWidth="1"/>
    <col min="2307" max="2307" width="14.5703125" customWidth="1"/>
    <col min="2308" max="2308" width="11.140625" customWidth="1"/>
    <col min="2309" max="2309" width="12.85546875" customWidth="1"/>
    <col min="2310" max="2310" width="9.140625" customWidth="1"/>
    <col min="2311" max="2311" width="12.140625" customWidth="1"/>
    <col min="2312" max="2312" width="13.42578125" customWidth="1"/>
    <col min="2313" max="2313" width="14" bestFit="1" customWidth="1"/>
    <col min="2558" max="2558" width="21.85546875" customWidth="1"/>
    <col min="2559" max="2559" width="44.42578125" customWidth="1"/>
    <col min="2560" max="2560" width="13.5703125" customWidth="1"/>
    <col min="2561" max="2562" width="0" hidden="1" customWidth="1"/>
    <col min="2563" max="2563" width="14.5703125" customWidth="1"/>
    <col min="2564" max="2564" width="11.140625" customWidth="1"/>
    <col min="2565" max="2565" width="12.85546875" customWidth="1"/>
    <col min="2566" max="2566" width="9.140625" customWidth="1"/>
    <col min="2567" max="2567" width="12.140625" customWidth="1"/>
    <col min="2568" max="2568" width="13.42578125" customWidth="1"/>
    <col min="2569" max="2569" width="14" bestFit="1" customWidth="1"/>
    <col min="2814" max="2814" width="21.85546875" customWidth="1"/>
    <col min="2815" max="2815" width="44.42578125" customWidth="1"/>
    <col min="2816" max="2816" width="13.5703125" customWidth="1"/>
    <col min="2817" max="2818" width="0" hidden="1" customWidth="1"/>
    <col min="2819" max="2819" width="14.5703125" customWidth="1"/>
    <col min="2820" max="2820" width="11.140625" customWidth="1"/>
    <col min="2821" max="2821" width="12.85546875" customWidth="1"/>
    <col min="2822" max="2822" width="9.140625" customWidth="1"/>
    <col min="2823" max="2823" width="12.140625" customWidth="1"/>
    <col min="2824" max="2824" width="13.42578125" customWidth="1"/>
    <col min="2825" max="2825" width="14" bestFit="1" customWidth="1"/>
    <col min="3070" max="3070" width="21.85546875" customWidth="1"/>
    <col min="3071" max="3071" width="44.42578125" customWidth="1"/>
    <col min="3072" max="3072" width="13.5703125" customWidth="1"/>
    <col min="3073" max="3074" width="0" hidden="1" customWidth="1"/>
    <col min="3075" max="3075" width="14.5703125" customWidth="1"/>
    <col min="3076" max="3076" width="11.140625" customWidth="1"/>
    <col min="3077" max="3077" width="12.85546875" customWidth="1"/>
    <col min="3078" max="3078" width="9.140625" customWidth="1"/>
    <col min="3079" max="3079" width="12.140625" customWidth="1"/>
    <col min="3080" max="3080" width="13.42578125" customWidth="1"/>
    <col min="3081" max="3081" width="14" bestFit="1" customWidth="1"/>
    <col min="3326" max="3326" width="21.85546875" customWidth="1"/>
    <col min="3327" max="3327" width="44.42578125" customWidth="1"/>
    <col min="3328" max="3328" width="13.5703125" customWidth="1"/>
    <col min="3329" max="3330" width="0" hidden="1" customWidth="1"/>
    <col min="3331" max="3331" width="14.5703125" customWidth="1"/>
    <col min="3332" max="3332" width="11.140625" customWidth="1"/>
    <col min="3333" max="3333" width="12.85546875" customWidth="1"/>
    <col min="3334" max="3334" width="9.140625" customWidth="1"/>
    <col min="3335" max="3335" width="12.140625" customWidth="1"/>
    <col min="3336" max="3336" width="13.42578125" customWidth="1"/>
    <col min="3337" max="3337" width="14" bestFit="1" customWidth="1"/>
    <col min="3582" max="3582" width="21.85546875" customWidth="1"/>
    <col min="3583" max="3583" width="44.42578125" customWidth="1"/>
    <col min="3584" max="3584" width="13.5703125" customWidth="1"/>
    <col min="3585" max="3586" width="0" hidden="1" customWidth="1"/>
    <col min="3587" max="3587" width="14.5703125" customWidth="1"/>
    <col min="3588" max="3588" width="11.140625" customWidth="1"/>
    <col min="3589" max="3589" width="12.85546875" customWidth="1"/>
    <col min="3590" max="3590" width="9.140625" customWidth="1"/>
    <col min="3591" max="3591" width="12.140625" customWidth="1"/>
    <col min="3592" max="3592" width="13.42578125" customWidth="1"/>
    <col min="3593" max="3593" width="14" bestFit="1" customWidth="1"/>
    <col min="3838" max="3838" width="21.85546875" customWidth="1"/>
    <col min="3839" max="3839" width="44.42578125" customWidth="1"/>
    <col min="3840" max="3840" width="13.5703125" customWidth="1"/>
    <col min="3841" max="3842" width="0" hidden="1" customWidth="1"/>
    <col min="3843" max="3843" width="14.5703125" customWidth="1"/>
    <col min="3844" max="3844" width="11.140625" customWidth="1"/>
    <col min="3845" max="3845" width="12.85546875" customWidth="1"/>
    <col min="3846" max="3846" width="9.140625" customWidth="1"/>
    <col min="3847" max="3847" width="12.140625" customWidth="1"/>
    <col min="3848" max="3848" width="13.42578125" customWidth="1"/>
    <col min="3849" max="3849" width="14" bestFit="1" customWidth="1"/>
    <col min="4094" max="4094" width="21.85546875" customWidth="1"/>
    <col min="4095" max="4095" width="44.42578125" customWidth="1"/>
    <col min="4096" max="4096" width="13.5703125" customWidth="1"/>
    <col min="4097" max="4098" width="0" hidden="1" customWidth="1"/>
    <col min="4099" max="4099" width="14.5703125" customWidth="1"/>
    <col min="4100" max="4100" width="11.140625" customWidth="1"/>
    <col min="4101" max="4101" width="12.85546875" customWidth="1"/>
    <col min="4102" max="4102" width="9.140625" customWidth="1"/>
    <col min="4103" max="4103" width="12.140625" customWidth="1"/>
    <col min="4104" max="4104" width="13.42578125" customWidth="1"/>
    <col min="4105" max="4105" width="14" bestFit="1" customWidth="1"/>
    <col min="4350" max="4350" width="21.85546875" customWidth="1"/>
    <col min="4351" max="4351" width="44.42578125" customWidth="1"/>
    <col min="4352" max="4352" width="13.5703125" customWidth="1"/>
    <col min="4353" max="4354" width="0" hidden="1" customWidth="1"/>
    <col min="4355" max="4355" width="14.5703125" customWidth="1"/>
    <col min="4356" max="4356" width="11.140625" customWidth="1"/>
    <col min="4357" max="4357" width="12.85546875" customWidth="1"/>
    <col min="4358" max="4358" width="9.140625" customWidth="1"/>
    <col min="4359" max="4359" width="12.140625" customWidth="1"/>
    <col min="4360" max="4360" width="13.42578125" customWidth="1"/>
    <col min="4361" max="4361" width="14" bestFit="1" customWidth="1"/>
    <col min="4606" max="4606" width="21.85546875" customWidth="1"/>
    <col min="4607" max="4607" width="44.42578125" customWidth="1"/>
    <col min="4608" max="4608" width="13.5703125" customWidth="1"/>
    <col min="4609" max="4610" width="0" hidden="1" customWidth="1"/>
    <col min="4611" max="4611" width="14.5703125" customWidth="1"/>
    <col min="4612" max="4612" width="11.140625" customWidth="1"/>
    <col min="4613" max="4613" width="12.85546875" customWidth="1"/>
    <col min="4614" max="4614" width="9.140625" customWidth="1"/>
    <col min="4615" max="4615" width="12.140625" customWidth="1"/>
    <col min="4616" max="4616" width="13.42578125" customWidth="1"/>
    <col min="4617" max="4617" width="14" bestFit="1" customWidth="1"/>
    <col min="4862" max="4862" width="21.85546875" customWidth="1"/>
    <col min="4863" max="4863" width="44.42578125" customWidth="1"/>
    <col min="4864" max="4864" width="13.5703125" customWidth="1"/>
    <col min="4865" max="4866" width="0" hidden="1" customWidth="1"/>
    <col min="4867" max="4867" width="14.5703125" customWidth="1"/>
    <col min="4868" max="4868" width="11.140625" customWidth="1"/>
    <col min="4869" max="4869" width="12.85546875" customWidth="1"/>
    <col min="4870" max="4870" width="9.140625" customWidth="1"/>
    <col min="4871" max="4871" width="12.140625" customWidth="1"/>
    <col min="4872" max="4872" width="13.42578125" customWidth="1"/>
    <col min="4873" max="4873" width="14" bestFit="1" customWidth="1"/>
    <col min="5118" max="5118" width="21.85546875" customWidth="1"/>
    <col min="5119" max="5119" width="44.42578125" customWidth="1"/>
    <col min="5120" max="5120" width="13.5703125" customWidth="1"/>
    <col min="5121" max="5122" width="0" hidden="1" customWidth="1"/>
    <col min="5123" max="5123" width="14.5703125" customWidth="1"/>
    <col min="5124" max="5124" width="11.140625" customWidth="1"/>
    <col min="5125" max="5125" width="12.85546875" customWidth="1"/>
    <col min="5126" max="5126" width="9.140625" customWidth="1"/>
    <col min="5127" max="5127" width="12.140625" customWidth="1"/>
    <col min="5128" max="5128" width="13.42578125" customWidth="1"/>
    <col min="5129" max="5129" width="14" bestFit="1" customWidth="1"/>
    <col min="5374" max="5374" width="21.85546875" customWidth="1"/>
    <col min="5375" max="5375" width="44.42578125" customWidth="1"/>
    <col min="5376" max="5376" width="13.5703125" customWidth="1"/>
    <col min="5377" max="5378" width="0" hidden="1" customWidth="1"/>
    <col min="5379" max="5379" width="14.5703125" customWidth="1"/>
    <col min="5380" max="5380" width="11.140625" customWidth="1"/>
    <col min="5381" max="5381" width="12.85546875" customWidth="1"/>
    <col min="5382" max="5382" width="9.140625" customWidth="1"/>
    <col min="5383" max="5383" width="12.140625" customWidth="1"/>
    <col min="5384" max="5384" width="13.42578125" customWidth="1"/>
    <col min="5385" max="5385" width="14" bestFit="1" customWidth="1"/>
    <col min="5630" max="5630" width="21.85546875" customWidth="1"/>
    <col min="5631" max="5631" width="44.42578125" customWidth="1"/>
    <col min="5632" max="5632" width="13.5703125" customWidth="1"/>
    <col min="5633" max="5634" width="0" hidden="1" customWidth="1"/>
    <col min="5635" max="5635" width="14.5703125" customWidth="1"/>
    <col min="5636" max="5636" width="11.140625" customWidth="1"/>
    <col min="5637" max="5637" width="12.85546875" customWidth="1"/>
    <col min="5638" max="5638" width="9.140625" customWidth="1"/>
    <col min="5639" max="5639" width="12.140625" customWidth="1"/>
    <col min="5640" max="5640" width="13.42578125" customWidth="1"/>
    <col min="5641" max="5641" width="14" bestFit="1" customWidth="1"/>
    <col min="5886" max="5886" width="21.85546875" customWidth="1"/>
    <col min="5887" max="5887" width="44.42578125" customWidth="1"/>
    <col min="5888" max="5888" width="13.5703125" customWidth="1"/>
    <col min="5889" max="5890" width="0" hidden="1" customWidth="1"/>
    <col min="5891" max="5891" width="14.5703125" customWidth="1"/>
    <col min="5892" max="5892" width="11.140625" customWidth="1"/>
    <col min="5893" max="5893" width="12.85546875" customWidth="1"/>
    <col min="5894" max="5894" width="9.140625" customWidth="1"/>
    <col min="5895" max="5895" width="12.140625" customWidth="1"/>
    <col min="5896" max="5896" width="13.42578125" customWidth="1"/>
    <col min="5897" max="5897" width="14" bestFit="1" customWidth="1"/>
    <col min="6142" max="6142" width="21.85546875" customWidth="1"/>
    <col min="6143" max="6143" width="44.42578125" customWidth="1"/>
    <col min="6144" max="6144" width="13.5703125" customWidth="1"/>
    <col min="6145" max="6146" width="0" hidden="1" customWidth="1"/>
    <col min="6147" max="6147" width="14.5703125" customWidth="1"/>
    <col min="6148" max="6148" width="11.140625" customWidth="1"/>
    <col min="6149" max="6149" width="12.85546875" customWidth="1"/>
    <col min="6150" max="6150" width="9.140625" customWidth="1"/>
    <col min="6151" max="6151" width="12.140625" customWidth="1"/>
    <col min="6152" max="6152" width="13.42578125" customWidth="1"/>
    <col min="6153" max="6153" width="14" bestFit="1" customWidth="1"/>
    <col min="6398" max="6398" width="21.85546875" customWidth="1"/>
    <col min="6399" max="6399" width="44.42578125" customWidth="1"/>
    <col min="6400" max="6400" width="13.5703125" customWidth="1"/>
    <col min="6401" max="6402" width="0" hidden="1" customWidth="1"/>
    <col min="6403" max="6403" width="14.5703125" customWidth="1"/>
    <col min="6404" max="6404" width="11.140625" customWidth="1"/>
    <col min="6405" max="6405" width="12.85546875" customWidth="1"/>
    <col min="6406" max="6406" width="9.140625" customWidth="1"/>
    <col min="6407" max="6407" width="12.140625" customWidth="1"/>
    <col min="6408" max="6408" width="13.42578125" customWidth="1"/>
    <col min="6409" max="6409" width="14" bestFit="1" customWidth="1"/>
    <col min="6654" max="6654" width="21.85546875" customWidth="1"/>
    <col min="6655" max="6655" width="44.42578125" customWidth="1"/>
    <col min="6656" max="6656" width="13.5703125" customWidth="1"/>
    <col min="6657" max="6658" width="0" hidden="1" customWidth="1"/>
    <col min="6659" max="6659" width="14.5703125" customWidth="1"/>
    <col min="6660" max="6660" width="11.140625" customWidth="1"/>
    <col min="6661" max="6661" width="12.85546875" customWidth="1"/>
    <col min="6662" max="6662" width="9.140625" customWidth="1"/>
    <col min="6663" max="6663" width="12.140625" customWidth="1"/>
    <col min="6664" max="6664" width="13.42578125" customWidth="1"/>
    <col min="6665" max="6665" width="14" bestFit="1" customWidth="1"/>
    <col min="6910" max="6910" width="21.85546875" customWidth="1"/>
    <col min="6911" max="6911" width="44.42578125" customWidth="1"/>
    <col min="6912" max="6912" width="13.5703125" customWidth="1"/>
    <col min="6913" max="6914" width="0" hidden="1" customWidth="1"/>
    <col min="6915" max="6915" width="14.5703125" customWidth="1"/>
    <col min="6916" max="6916" width="11.140625" customWidth="1"/>
    <col min="6917" max="6917" width="12.85546875" customWidth="1"/>
    <col min="6918" max="6918" width="9.140625" customWidth="1"/>
    <col min="6919" max="6919" width="12.140625" customWidth="1"/>
    <col min="6920" max="6920" width="13.42578125" customWidth="1"/>
    <col min="6921" max="6921" width="14" bestFit="1" customWidth="1"/>
    <col min="7166" max="7166" width="21.85546875" customWidth="1"/>
    <col min="7167" max="7167" width="44.42578125" customWidth="1"/>
    <col min="7168" max="7168" width="13.5703125" customWidth="1"/>
    <col min="7169" max="7170" width="0" hidden="1" customWidth="1"/>
    <col min="7171" max="7171" width="14.5703125" customWidth="1"/>
    <col min="7172" max="7172" width="11.140625" customWidth="1"/>
    <col min="7173" max="7173" width="12.85546875" customWidth="1"/>
    <col min="7174" max="7174" width="9.140625" customWidth="1"/>
    <col min="7175" max="7175" width="12.140625" customWidth="1"/>
    <col min="7176" max="7176" width="13.42578125" customWidth="1"/>
    <col min="7177" max="7177" width="14" bestFit="1" customWidth="1"/>
    <col min="7422" max="7422" width="21.85546875" customWidth="1"/>
    <col min="7423" max="7423" width="44.42578125" customWidth="1"/>
    <col min="7424" max="7424" width="13.5703125" customWidth="1"/>
    <col min="7425" max="7426" width="0" hidden="1" customWidth="1"/>
    <col min="7427" max="7427" width="14.5703125" customWidth="1"/>
    <col min="7428" max="7428" width="11.140625" customWidth="1"/>
    <col min="7429" max="7429" width="12.85546875" customWidth="1"/>
    <col min="7430" max="7430" width="9.140625" customWidth="1"/>
    <col min="7431" max="7431" width="12.140625" customWidth="1"/>
    <col min="7432" max="7432" width="13.42578125" customWidth="1"/>
    <col min="7433" max="7433" width="14" bestFit="1" customWidth="1"/>
    <col min="7678" max="7678" width="21.85546875" customWidth="1"/>
    <col min="7679" max="7679" width="44.42578125" customWidth="1"/>
    <col min="7680" max="7680" width="13.5703125" customWidth="1"/>
    <col min="7681" max="7682" width="0" hidden="1" customWidth="1"/>
    <col min="7683" max="7683" width="14.5703125" customWidth="1"/>
    <col min="7684" max="7684" width="11.140625" customWidth="1"/>
    <col min="7685" max="7685" width="12.85546875" customWidth="1"/>
    <col min="7686" max="7686" width="9.140625" customWidth="1"/>
    <col min="7687" max="7687" width="12.140625" customWidth="1"/>
    <col min="7688" max="7688" width="13.42578125" customWidth="1"/>
    <col min="7689" max="7689" width="14" bestFit="1" customWidth="1"/>
    <col min="7934" max="7934" width="21.85546875" customWidth="1"/>
    <col min="7935" max="7935" width="44.42578125" customWidth="1"/>
    <col min="7936" max="7936" width="13.5703125" customWidth="1"/>
    <col min="7937" max="7938" width="0" hidden="1" customWidth="1"/>
    <col min="7939" max="7939" width="14.5703125" customWidth="1"/>
    <col min="7940" max="7940" width="11.140625" customWidth="1"/>
    <col min="7941" max="7941" width="12.85546875" customWidth="1"/>
    <col min="7942" max="7942" width="9.140625" customWidth="1"/>
    <col min="7943" max="7943" width="12.140625" customWidth="1"/>
    <col min="7944" max="7944" width="13.42578125" customWidth="1"/>
    <col min="7945" max="7945" width="14" bestFit="1" customWidth="1"/>
    <col min="8190" max="8190" width="21.85546875" customWidth="1"/>
    <col min="8191" max="8191" width="44.42578125" customWidth="1"/>
    <col min="8192" max="8192" width="13.5703125" customWidth="1"/>
    <col min="8193" max="8194" width="0" hidden="1" customWidth="1"/>
    <col min="8195" max="8195" width="14.5703125" customWidth="1"/>
    <col min="8196" max="8196" width="11.140625" customWidth="1"/>
    <col min="8197" max="8197" width="12.85546875" customWidth="1"/>
    <col min="8198" max="8198" width="9.140625" customWidth="1"/>
    <col min="8199" max="8199" width="12.140625" customWidth="1"/>
    <col min="8200" max="8200" width="13.42578125" customWidth="1"/>
    <col min="8201" max="8201" width="14" bestFit="1" customWidth="1"/>
    <col min="8446" max="8446" width="21.85546875" customWidth="1"/>
    <col min="8447" max="8447" width="44.42578125" customWidth="1"/>
    <col min="8448" max="8448" width="13.5703125" customWidth="1"/>
    <col min="8449" max="8450" width="0" hidden="1" customWidth="1"/>
    <col min="8451" max="8451" width="14.5703125" customWidth="1"/>
    <col min="8452" max="8452" width="11.140625" customWidth="1"/>
    <col min="8453" max="8453" width="12.85546875" customWidth="1"/>
    <col min="8454" max="8454" width="9.140625" customWidth="1"/>
    <col min="8455" max="8455" width="12.140625" customWidth="1"/>
    <col min="8456" max="8456" width="13.42578125" customWidth="1"/>
    <col min="8457" max="8457" width="14" bestFit="1" customWidth="1"/>
    <col min="8702" max="8702" width="21.85546875" customWidth="1"/>
    <col min="8703" max="8703" width="44.42578125" customWidth="1"/>
    <col min="8704" max="8704" width="13.5703125" customWidth="1"/>
    <col min="8705" max="8706" width="0" hidden="1" customWidth="1"/>
    <col min="8707" max="8707" width="14.5703125" customWidth="1"/>
    <col min="8708" max="8708" width="11.140625" customWidth="1"/>
    <col min="8709" max="8709" width="12.85546875" customWidth="1"/>
    <col min="8710" max="8710" width="9.140625" customWidth="1"/>
    <col min="8711" max="8711" width="12.140625" customWidth="1"/>
    <col min="8712" max="8712" width="13.42578125" customWidth="1"/>
    <col min="8713" max="8713" width="14" bestFit="1" customWidth="1"/>
    <col min="8958" max="8958" width="21.85546875" customWidth="1"/>
    <col min="8959" max="8959" width="44.42578125" customWidth="1"/>
    <col min="8960" max="8960" width="13.5703125" customWidth="1"/>
    <col min="8961" max="8962" width="0" hidden="1" customWidth="1"/>
    <col min="8963" max="8963" width="14.5703125" customWidth="1"/>
    <col min="8964" max="8964" width="11.140625" customWidth="1"/>
    <col min="8965" max="8965" width="12.85546875" customWidth="1"/>
    <col min="8966" max="8966" width="9.140625" customWidth="1"/>
    <col min="8967" max="8967" width="12.140625" customWidth="1"/>
    <col min="8968" max="8968" width="13.42578125" customWidth="1"/>
    <col min="8969" max="8969" width="14" bestFit="1" customWidth="1"/>
    <col min="9214" max="9214" width="21.85546875" customWidth="1"/>
    <col min="9215" max="9215" width="44.42578125" customWidth="1"/>
    <col min="9216" max="9216" width="13.5703125" customWidth="1"/>
    <col min="9217" max="9218" width="0" hidden="1" customWidth="1"/>
    <col min="9219" max="9219" width="14.5703125" customWidth="1"/>
    <col min="9220" max="9220" width="11.140625" customWidth="1"/>
    <col min="9221" max="9221" width="12.85546875" customWidth="1"/>
    <col min="9222" max="9222" width="9.140625" customWidth="1"/>
    <col min="9223" max="9223" width="12.140625" customWidth="1"/>
    <col min="9224" max="9224" width="13.42578125" customWidth="1"/>
    <col min="9225" max="9225" width="14" bestFit="1" customWidth="1"/>
    <col min="9470" max="9470" width="21.85546875" customWidth="1"/>
    <col min="9471" max="9471" width="44.42578125" customWidth="1"/>
    <col min="9472" max="9472" width="13.5703125" customWidth="1"/>
    <col min="9473" max="9474" width="0" hidden="1" customWidth="1"/>
    <col min="9475" max="9475" width="14.5703125" customWidth="1"/>
    <col min="9476" max="9476" width="11.140625" customWidth="1"/>
    <col min="9477" max="9477" width="12.85546875" customWidth="1"/>
    <col min="9478" max="9478" width="9.140625" customWidth="1"/>
    <col min="9479" max="9479" width="12.140625" customWidth="1"/>
    <col min="9480" max="9480" width="13.42578125" customWidth="1"/>
    <col min="9481" max="9481" width="14" bestFit="1" customWidth="1"/>
    <col min="9726" max="9726" width="21.85546875" customWidth="1"/>
    <col min="9727" max="9727" width="44.42578125" customWidth="1"/>
    <col min="9728" max="9728" width="13.5703125" customWidth="1"/>
    <col min="9729" max="9730" width="0" hidden="1" customWidth="1"/>
    <col min="9731" max="9731" width="14.5703125" customWidth="1"/>
    <col min="9732" max="9732" width="11.140625" customWidth="1"/>
    <col min="9733" max="9733" width="12.85546875" customWidth="1"/>
    <col min="9734" max="9734" width="9.140625" customWidth="1"/>
    <col min="9735" max="9735" width="12.140625" customWidth="1"/>
    <col min="9736" max="9736" width="13.42578125" customWidth="1"/>
    <col min="9737" max="9737" width="14" bestFit="1" customWidth="1"/>
    <col min="9982" max="9982" width="21.85546875" customWidth="1"/>
    <col min="9983" max="9983" width="44.42578125" customWidth="1"/>
    <col min="9984" max="9984" width="13.5703125" customWidth="1"/>
    <col min="9985" max="9986" width="0" hidden="1" customWidth="1"/>
    <col min="9987" max="9987" width="14.5703125" customWidth="1"/>
    <col min="9988" max="9988" width="11.140625" customWidth="1"/>
    <col min="9989" max="9989" width="12.85546875" customWidth="1"/>
    <col min="9990" max="9990" width="9.140625" customWidth="1"/>
    <col min="9991" max="9991" width="12.140625" customWidth="1"/>
    <col min="9992" max="9992" width="13.42578125" customWidth="1"/>
    <col min="9993" max="9993" width="14" bestFit="1" customWidth="1"/>
    <col min="10238" max="10238" width="21.85546875" customWidth="1"/>
    <col min="10239" max="10239" width="44.42578125" customWidth="1"/>
    <col min="10240" max="10240" width="13.5703125" customWidth="1"/>
    <col min="10241" max="10242" width="0" hidden="1" customWidth="1"/>
    <col min="10243" max="10243" width="14.5703125" customWidth="1"/>
    <col min="10244" max="10244" width="11.140625" customWidth="1"/>
    <col min="10245" max="10245" width="12.85546875" customWidth="1"/>
    <col min="10246" max="10246" width="9.140625" customWidth="1"/>
    <col min="10247" max="10247" width="12.140625" customWidth="1"/>
    <col min="10248" max="10248" width="13.42578125" customWidth="1"/>
    <col min="10249" max="10249" width="14" bestFit="1" customWidth="1"/>
    <col min="10494" max="10494" width="21.85546875" customWidth="1"/>
    <col min="10495" max="10495" width="44.42578125" customWidth="1"/>
    <col min="10496" max="10496" width="13.5703125" customWidth="1"/>
    <col min="10497" max="10498" width="0" hidden="1" customWidth="1"/>
    <col min="10499" max="10499" width="14.5703125" customWidth="1"/>
    <col min="10500" max="10500" width="11.140625" customWidth="1"/>
    <col min="10501" max="10501" width="12.85546875" customWidth="1"/>
    <col min="10502" max="10502" width="9.140625" customWidth="1"/>
    <col min="10503" max="10503" width="12.140625" customWidth="1"/>
    <col min="10504" max="10504" width="13.42578125" customWidth="1"/>
    <col min="10505" max="10505" width="14" bestFit="1" customWidth="1"/>
    <col min="10750" max="10750" width="21.85546875" customWidth="1"/>
    <col min="10751" max="10751" width="44.42578125" customWidth="1"/>
    <col min="10752" max="10752" width="13.5703125" customWidth="1"/>
    <col min="10753" max="10754" width="0" hidden="1" customWidth="1"/>
    <col min="10755" max="10755" width="14.5703125" customWidth="1"/>
    <col min="10756" max="10756" width="11.140625" customWidth="1"/>
    <col min="10757" max="10757" width="12.85546875" customWidth="1"/>
    <col min="10758" max="10758" width="9.140625" customWidth="1"/>
    <col min="10759" max="10759" width="12.140625" customWidth="1"/>
    <col min="10760" max="10760" width="13.42578125" customWidth="1"/>
    <col min="10761" max="10761" width="14" bestFit="1" customWidth="1"/>
    <col min="11006" max="11006" width="21.85546875" customWidth="1"/>
    <col min="11007" max="11007" width="44.42578125" customWidth="1"/>
    <col min="11008" max="11008" width="13.5703125" customWidth="1"/>
    <col min="11009" max="11010" width="0" hidden="1" customWidth="1"/>
    <col min="11011" max="11011" width="14.5703125" customWidth="1"/>
    <col min="11012" max="11012" width="11.140625" customWidth="1"/>
    <col min="11013" max="11013" width="12.85546875" customWidth="1"/>
    <col min="11014" max="11014" width="9.140625" customWidth="1"/>
    <col min="11015" max="11015" width="12.140625" customWidth="1"/>
    <col min="11016" max="11016" width="13.42578125" customWidth="1"/>
    <col min="11017" max="11017" width="14" bestFit="1" customWidth="1"/>
    <col min="11262" max="11262" width="21.85546875" customWidth="1"/>
    <col min="11263" max="11263" width="44.42578125" customWidth="1"/>
    <col min="11264" max="11264" width="13.5703125" customWidth="1"/>
    <col min="11265" max="11266" width="0" hidden="1" customWidth="1"/>
    <col min="11267" max="11267" width="14.5703125" customWidth="1"/>
    <col min="11268" max="11268" width="11.140625" customWidth="1"/>
    <col min="11269" max="11269" width="12.85546875" customWidth="1"/>
    <col min="11270" max="11270" width="9.140625" customWidth="1"/>
    <col min="11271" max="11271" width="12.140625" customWidth="1"/>
    <col min="11272" max="11272" width="13.42578125" customWidth="1"/>
    <col min="11273" max="11273" width="14" bestFit="1" customWidth="1"/>
    <col min="11518" max="11518" width="21.85546875" customWidth="1"/>
    <col min="11519" max="11519" width="44.42578125" customWidth="1"/>
    <col min="11520" max="11520" width="13.5703125" customWidth="1"/>
    <col min="11521" max="11522" width="0" hidden="1" customWidth="1"/>
    <col min="11523" max="11523" width="14.5703125" customWidth="1"/>
    <col min="11524" max="11524" width="11.140625" customWidth="1"/>
    <col min="11525" max="11525" width="12.85546875" customWidth="1"/>
    <col min="11526" max="11526" width="9.140625" customWidth="1"/>
    <col min="11527" max="11527" width="12.140625" customWidth="1"/>
    <col min="11528" max="11528" width="13.42578125" customWidth="1"/>
    <col min="11529" max="11529" width="14" bestFit="1" customWidth="1"/>
    <col min="11774" max="11774" width="21.85546875" customWidth="1"/>
    <col min="11775" max="11775" width="44.42578125" customWidth="1"/>
    <col min="11776" max="11776" width="13.5703125" customWidth="1"/>
    <col min="11777" max="11778" width="0" hidden="1" customWidth="1"/>
    <col min="11779" max="11779" width="14.5703125" customWidth="1"/>
    <col min="11780" max="11780" width="11.140625" customWidth="1"/>
    <col min="11781" max="11781" width="12.85546875" customWidth="1"/>
    <col min="11782" max="11782" width="9.140625" customWidth="1"/>
    <col min="11783" max="11783" width="12.140625" customWidth="1"/>
    <col min="11784" max="11784" width="13.42578125" customWidth="1"/>
    <col min="11785" max="11785" width="14" bestFit="1" customWidth="1"/>
    <col min="12030" max="12030" width="21.85546875" customWidth="1"/>
    <col min="12031" max="12031" width="44.42578125" customWidth="1"/>
    <col min="12032" max="12032" width="13.5703125" customWidth="1"/>
    <col min="12033" max="12034" width="0" hidden="1" customWidth="1"/>
    <col min="12035" max="12035" width="14.5703125" customWidth="1"/>
    <col min="12036" max="12036" width="11.140625" customWidth="1"/>
    <col min="12037" max="12037" width="12.85546875" customWidth="1"/>
    <col min="12038" max="12038" width="9.140625" customWidth="1"/>
    <col min="12039" max="12039" width="12.140625" customWidth="1"/>
    <col min="12040" max="12040" width="13.42578125" customWidth="1"/>
    <col min="12041" max="12041" width="14" bestFit="1" customWidth="1"/>
    <col min="12286" max="12286" width="21.85546875" customWidth="1"/>
    <col min="12287" max="12287" width="44.42578125" customWidth="1"/>
    <col min="12288" max="12288" width="13.5703125" customWidth="1"/>
    <col min="12289" max="12290" width="0" hidden="1" customWidth="1"/>
    <col min="12291" max="12291" width="14.5703125" customWidth="1"/>
    <col min="12292" max="12292" width="11.140625" customWidth="1"/>
    <col min="12293" max="12293" width="12.85546875" customWidth="1"/>
    <col min="12294" max="12294" width="9.140625" customWidth="1"/>
    <col min="12295" max="12295" width="12.140625" customWidth="1"/>
    <col min="12296" max="12296" width="13.42578125" customWidth="1"/>
    <col min="12297" max="12297" width="14" bestFit="1" customWidth="1"/>
    <col min="12542" max="12542" width="21.85546875" customWidth="1"/>
    <col min="12543" max="12543" width="44.42578125" customWidth="1"/>
    <col min="12544" max="12544" width="13.5703125" customWidth="1"/>
    <col min="12545" max="12546" width="0" hidden="1" customWidth="1"/>
    <col min="12547" max="12547" width="14.5703125" customWidth="1"/>
    <col min="12548" max="12548" width="11.140625" customWidth="1"/>
    <col min="12549" max="12549" width="12.85546875" customWidth="1"/>
    <col min="12550" max="12550" width="9.140625" customWidth="1"/>
    <col min="12551" max="12551" width="12.140625" customWidth="1"/>
    <col min="12552" max="12552" width="13.42578125" customWidth="1"/>
    <col min="12553" max="12553" width="14" bestFit="1" customWidth="1"/>
    <col min="12798" max="12798" width="21.85546875" customWidth="1"/>
    <col min="12799" max="12799" width="44.42578125" customWidth="1"/>
    <col min="12800" max="12800" width="13.5703125" customWidth="1"/>
    <col min="12801" max="12802" width="0" hidden="1" customWidth="1"/>
    <col min="12803" max="12803" width="14.5703125" customWidth="1"/>
    <col min="12804" max="12804" width="11.140625" customWidth="1"/>
    <col min="12805" max="12805" width="12.85546875" customWidth="1"/>
    <col min="12806" max="12806" width="9.140625" customWidth="1"/>
    <col min="12807" max="12807" width="12.140625" customWidth="1"/>
    <col min="12808" max="12808" width="13.42578125" customWidth="1"/>
    <col min="12809" max="12809" width="14" bestFit="1" customWidth="1"/>
    <col min="13054" max="13054" width="21.85546875" customWidth="1"/>
    <col min="13055" max="13055" width="44.42578125" customWidth="1"/>
    <col min="13056" max="13056" width="13.5703125" customWidth="1"/>
    <col min="13057" max="13058" width="0" hidden="1" customWidth="1"/>
    <col min="13059" max="13059" width="14.5703125" customWidth="1"/>
    <col min="13060" max="13060" width="11.140625" customWidth="1"/>
    <col min="13061" max="13061" width="12.85546875" customWidth="1"/>
    <col min="13062" max="13062" width="9.140625" customWidth="1"/>
    <col min="13063" max="13063" width="12.140625" customWidth="1"/>
    <col min="13064" max="13064" width="13.42578125" customWidth="1"/>
    <col min="13065" max="13065" width="14" bestFit="1" customWidth="1"/>
    <col min="13310" max="13310" width="21.85546875" customWidth="1"/>
    <col min="13311" max="13311" width="44.42578125" customWidth="1"/>
    <col min="13312" max="13312" width="13.5703125" customWidth="1"/>
    <col min="13313" max="13314" width="0" hidden="1" customWidth="1"/>
    <col min="13315" max="13315" width="14.5703125" customWidth="1"/>
    <col min="13316" max="13316" width="11.140625" customWidth="1"/>
    <col min="13317" max="13317" width="12.85546875" customWidth="1"/>
    <col min="13318" max="13318" width="9.140625" customWidth="1"/>
    <col min="13319" max="13319" width="12.140625" customWidth="1"/>
    <col min="13320" max="13320" width="13.42578125" customWidth="1"/>
    <col min="13321" max="13321" width="14" bestFit="1" customWidth="1"/>
    <col min="13566" max="13566" width="21.85546875" customWidth="1"/>
    <col min="13567" max="13567" width="44.42578125" customWidth="1"/>
    <col min="13568" max="13568" width="13.5703125" customWidth="1"/>
    <col min="13569" max="13570" width="0" hidden="1" customWidth="1"/>
    <col min="13571" max="13571" width="14.5703125" customWidth="1"/>
    <col min="13572" max="13572" width="11.140625" customWidth="1"/>
    <col min="13573" max="13573" width="12.85546875" customWidth="1"/>
    <col min="13574" max="13574" width="9.140625" customWidth="1"/>
    <col min="13575" max="13575" width="12.140625" customWidth="1"/>
    <col min="13576" max="13576" width="13.42578125" customWidth="1"/>
    <col min="13577" max="13577" width="14" bestFit="1" customWidth="1"/>
    <col min="13822" max="13822" width="21.85546875" customWidth="1"/>
    <col min="13823" max="13823" width="44.42578125" customWidth="1"/>
    <col min="13824" max="13824" width="13.5703125" customWidth="1"/>
    <col min="13825" max="13826" width="0" hidden="1" customWidth="1"/>
    <col min="13827" max="13827" width="14.5703125" customWidth="1"/>
    <col min="13828" max="13828" width="11.140625" customWidth="1"/>
    <col min="13829" max="13829" width="12.85546875" customWidth="1"/>
    <col min="13830" max="13830" width="9.140625" customWidth="1"/>
    <col min="13831" max="13831" width="12.140625" customWidth="1"/>
    <col min="13832" max="13832" width="13.42578125" customWidth="1"/>
    <col min="13833" max="13833" width="14" bestFit="1" customWidth="1"/>
    <col min="14078" max="14078" width="21.85546875" customWidth="1"/>
    <col min="14079" max="14079" width="44.42578125" customWidth="1"/>
    <col min="14080" max="14080" width="13.5703125" customWidth="1"/>
    <col min="14081" max="14082" width="0" hidden="1" customWidth="1"/>
    <col min="14083" max="14083" width="14.5703125" customWidth="1"/>
    <col min="14084" max="14084" width="11.140625" customWidth="1"/>
    <col min="14085" max="14085" width="12.85546875" customWidth="1"/>
    <col min="14086" max="14086" width="9.140625" customWidth="1"/>
    <col min="14087" max="14087" width="12.140625" customWidth="1"/>
    <col min="14088" max="14088" width="13.42578125" customWidth="1"/>
    <col min="14089" max="14089" width="14" bestFit="1" customWidth="1"/>
    <col min="14334" max="14334" width="21.85546875" customWidth="1"/>
    <col min="14335" max="14335" width="44.42578125" customWidth="1"/>
    <col min="14336" max="14336" width="13.5703125" customWidth="1"/>
    <col min="14337" max="14338" width="0" hidden="1" customWidth="1"/>
    <col min="14339" max="14339" width="14.5703125" customWidth="1"/>
    <col min="14340" max="14340" width="11.140625" customWidth="1"/>
    <col min="14341" max="14341" width="12.85546875" customWidth="1"/>
    <col min="14342" max="14342" width="9.140625" customWidth="1"/>
    <col min="14343" max="14343" width="12.140625" customWidth="1"/>
    <col min="14344" max="14344" width="13.42578125" customWidth="1"/>
    <col min="14345" max="14345" width="14" bestFit="1" customWidth="1"/>
    <col min="14590" max="14590" width="21.85546875" customWidth="1"/>
    <col min="14591" max="14591" width="44.42578125" customWidth="1"/>
    <col min="14592" max="14592" width="13.5703125" customWidth="1"/>
    <col min="14593" max="14594" width="0" hidden="1" customWidth="1"/>
    <col min="14595" max="14595" width="14.5703125" customWidth="1"/>
    <col min="14596" max="14596" width="11.140625" customWidth="1"/>
    <col min="14597" max="14597" width="12.85546875" customWidth="1"/>
    <col min="14598" max="14598" width="9.140625" customWidth="1"/>
    <col min="14599" max="14599" width="12.140625" customWidth="1"/>
    <col min="14600" max="14600" width="13.42578125" customWidth="1"/>
    <col min="14601" max="14601" width="14" bestFit="1" customWidth="1"/>
    <col min="14846" max="14846" width="21.85546875" customWidth="1"/>
    <col min="14847" max="14847" width="44.42578125" customWidth="1"/>
    <col min="14848" max="14848" width="13.5703125" customWidth="1"/>
    <col min="14849" max="14850" width="0" hidden="1" customWidth="1"/>
    <col min="14851" max="14851" width="14.5703125" customWidth="1"/>
    <col min="14852" max="14852" width="11.140625" customWidth="1"/>
    <col min="14853" max="14853" width="12.85546875" customWidth="1"/>
    <col min="14854" max="14854" width="9.140625" customWidth="1"/>
    <col min="14855" max="14855" width="12.140625" customWidth="1"/>
    <col min="14856" max="14856" width="13.42578125" customWidth="1"/>
    <col min="14857" max="14857" width="14" bestFit="1" customWidth="1"/>
    <col min="15102" max="15102" width="21.85546875" customWidth="1"/>
    <col min="15103" max="15103" width="44.42578125" customWidth="1"/>
    <col min="15104" max="15104" width="13.5703125" customWidth="1"/>
    <col min="15105" max="15106" width="0" hidden="1" customWidth="1"/>
    <col min="15107" max="15107" width="14.5703125" customWidth="1"/>
    <col min="15108" max="15108" width="11.140625" customWidth="1"/>
    <col min="15109" max="15109" width="12.85546875" customWidth="1"/>
    <col min="15110" max="15110" width="9.140625" customWidth="1"/>
    <col min="15111" max="15111" width="12.140625" customWidth="1"/>
    <col min="15112" max="15112" width="13.42578125" customWidth="1"/>
    <col min="15113" max="15113" width="14" bestFit="1" customWidth="1"/>
    <col min="15358" max="15358" width="21.85546875" customWidth="1"/>
    <col min="15359" max="15359" width="44.42578125" customWidth="1"/>
    <col min="15360" max="15360" width="13.5703125" customWidth="1"/>
    <col min="15361" max="15362" width="0" hidden="1" customWidth="1"/>
    <col min="15363" max="15363" width="14.5703125" customWidth="1"/>
    <col min="15364" max="15364" width="11.140625" customWidth="1"/>
    <col min="15365" max="15365" width="12.85546875" customWidth="1"/>
    <col min="15366" max="15366" width="9.140625" customWidth="1"/>
    <col min="15367" max="15367" width="12.140625" customWidth="1"/>
    <col min="15368" max="15368" width="13.42578125" customWidth="1"/>
    <col min="15369" max="15369" width="14" bestFit="1" customWidth="1"/>
    <col min="15614" max="15614" width="21.85546875" customWidth="1"/>
    <col min="15615" max="15615" width="44.42578125" customWidth="1"/>
    <col min="15616" max="15616" width="13.5703125" customWidth="1"/>
    <col min="15617" max="15618" width="0" hidden="1" customWidth="1"/>
    <col min="15619" max="15619" width="14.5703125" customWidth="1"/>
    <col min="15620" max="15620" width="11.140625" customWidth="1"/>
    <col min="15621" max="15621" width="12.85546875" customWidth="1"/>
    <col min="15622" max="15622" width="9.140625" customWidth="1"/>
    <col min="15623" max="15623" width="12.140625" customWidth="1"/>
    <col min="15624" max="15624" width="13.42578125" customWidth="1"/>
    <col min="15625" max="15625" width="14" bestFit="1" customWidth="1"/>
    <col min="15870" max="15870" width="21.85546875" customWidth="1"/>
    <col min="15871" max="15871" width="44.42578125" customWidth="1"/>
    <col min="15872" max="15872" width="13.5703125" customWidth="1"/>
    <col min="15873" max="15874" width="0" hidden="1" customWidth="1"/>
    <col min="15875" max="15875" width="14.5703125" customWidth="1"/>
    <col min="15876" max="15876" width="11.140625" customWidth="1"/>
    <col min="15877" max="15877" width="12.85546875" customWidth="1"/>
    <col min="15878" max="15878" width="9.140625" customWidth="1"/>
    <col min="15879" max="15879" width="12.140625" customWidth="1"/>
    <col min="15880" max="15880" width="13.42578125" customWidth="1"/>
    <col min="15881" max="15881" width="14" bestFit="1" customWidth="1"/>
    <col min="16126" max="16126" width="21.85546875" customWidth="1"/>
    <col min="16127" max="16127" width="44.42578125" customWidth="1"/>
    <col min="16128" max="16128" width="13.5703125" customWidth="1"/>
    <col min="16129" max="16130" width="0" hidden="1" customWidth="1"/>
    <col min="16131" max="16131" width="14.5703125" customWidth="1"/>
    <col min="16132" max="16132" width="11.140625" customWidth="1"/>
    <col min="16133" max="16133" width="12.85546875" customWidth="1"/>
    <col min="16134" max="16134" width="9.140625" customWidth="1"/>
    <col min="16135" max="16135" width="12.140625" customWidth="1"/>
    <col min="16136" max="16136" width="13.42578125" customWidth="1"/>
    <col min="16137" max="16137" width="14" bestFit="1" customWidth="1"/>
  </cols>
  <sheetData>
    <row r="1" spans="1:8" ht="15" customHeight="1">
      <c r="F1" s="613" t="s">
        <v>436</v>
      </c>
      <c r="G1" s="613"/>
    </row>
    <row r="2" spans="1:8" ht="89.25" customHeight="1">
      <c r="C2" s="520"/>
      <c r="F2" s="609" t="s">
        <v>585</v>
      </c>
      <c r="G2" s="609"/>
    </row>
    <row r="3" spans="1:8">
      <c r="C3" s="197"/>
      <c r="D3" s="212"/>
      <c r="E3" s="212"/>
      <c r="F3" s="212"/>
      <c r="G3" s="372"/>
    </row>
    <row r="4" spans="1:8" ht="26.25" customHeight="1">
      <c r="A4" s="612" t="s">
        <v>557</v>
      </c>
      <c r="B4" s="612"/>
      <c r="C4" s="612"/>
      <c r="D4" s="612"/>
      <c r="E4" s="612"/>
      <c r="F4" s="612"/>
      <c r="G4" s="612"/>
    </row>
    <row r="5" spans="1:8" ht="40.5" customHeight="1">
      <c r="A5" s="433" t="s">
        <v>270</v>
      </c>
      <c r="B5" s="433" t="s">
        <v>1</v>
      </c>
      <c r="C5" s="198" t="s">
        <v>437</v>
      </c>
      <c r="D5" s="431" t="s">
        <v>553</v>
      </c>
      <c r="E5" s="431" t="s">
        <v>438</v>
      </c>
      <c r="F5" s="431" t="s">
        <v>558</v>
      </c>
      <c r="G5" s="432" t="s">
        <v>548</v>
      </c>
      <c r="H5" t="s">
        <v>579</v>
      </c>
    </row>
    <row r="6" spans="1:8" ht="21">
      <c r="A6" s="199"/>
      <c r="B6" s="505" t="s">
        <v>439</v>
      </c>
      <c r="C6" s="506">
        <f t="shared" ref="C6:E6" si="0">C8+C10+C12+C16+C19+C25+C30+C34+C36</f>
        <v>25197.93</v>
      </c>
      <c r="D6" s="524">
        <f t="shared" si="0"/>
        <v>30130.710000000003</v>
      </c>
      <c r="E6" s="524">
        <f t="shared" si="0"/>
        <v>20490.658879999992</v>
      </c>
      <c r="F6" s="524">
        <f t="shared" ref="F6" si="1">F8+F10+F12+F16+F19+F25+F30+F34+F36</f>
        <v>30418.776809999999</v>
      </c>
      <c r="G6" s="373">
        <f>F6/D6</f>
        <v>1.0095605715895841</v>
      </c>
      <c r="H6">
        <v>30130.710000000003</v>
      </c>
    </row>
    <row r="7" spans="1:8" ht="15.75">
      <c r="A7" s="199"/>
      <c r="B7" s="505" t="s">
        <v>440</v>
      </c>
      <c r="C7" s="506">
        <f t="shared" ref="C7:E7" si="2">C8+C10+C12+C16</f>
        <v>21966.93</v>
      </c>
      <c r="D7" s="524">
        <f t="shared" si="2"/>
        <v>23430.49</v>
      </c>
      <c r="E7" s="524">
        <f t="shared" si="2"/>
        <v>18013.161049999995</v>
      </c>
      <c r="F7" s="524">
        <f t="shared" ref="F7" si="3">F8+F10+F12+F16</f>
        <v>23669.469409999998</v>
      </c>
      <c r="G7" s="373">
        <f t="shared" ref="G7:G55" si="4">F7/D7</f>
        <v>1.0101995054307442</v>
      </c>
      <c r="H7">
        <v>23430.49</v>
      </c>
    </row>
    <row r="8" spans="1:8" ht="15.75">
      <c r="A8" s="199" t="s">
        <v>441</v>
      </c>
      <c r="B8" s="507" t="s">
        <v>442</v>
      </c>
      <c r="C8" s="508">
        <f t="shared" ref="C8:F8" si="5">C9</f>
        <v>14087.03</v>
      </c>
      <c r="D8" s="525">
        <f t="shared" si="5"/>
        <v>14087.03</v>
      </c>
      <c r="E8" s="525">
        <f t="shared" si="5"/>
        <v>11600.165039999998</v>
      </c>
      <c r="F8" s="525">
        <f t="shared" si="5"/>
        <v>14057.077989999998</v>
      </c>
      <c r="G8" s="373">
        <f t="shared" si="4"/>
        <v>0.99787378815832706</v>
      </c>
      <c r="H8" s="210">
        <v>14087.03</v>
      </c>
    </row>
    <row r="9" spans="1:8" ht="15.75">
      <c r="A9" s="199" t="s">
        <v>443</v>
      </c>
      <c r="B9" s="509" t="s">
        <v>444</v>
      </c>
      <c r="C9" s="510">
        <v>14087.03</v>
      </c>
      <c r="D9" s="526">
        <f>14087.03</f>
        <v>14087.03</v>
      </c>
      <c r="E9" s="526">
        <f>11113.43357+168.0495+295.48741+11.9843+0.01269+9.80931+0.20926+1.179</f>
        <v>11600.165039999998</v>
      </c>
      <c r="F9" s="526">
        <f>13564.01874+168.0495+295.49741+17.6718+0.01269+10.32931-0.08046+1.579</f>
        <v>14057.077989999998</v>
      </c>
      <c r="G9" s="373">
        <f t="shared" si="4"/>
        <v>0.99787378815832706</v>
      </c>
      <c r="H9">
        <v>14087.03</v>
      </c>
    </row>
    <row r="10" spans="1:8" ht="48" customHeight="1">
      <c r="A10" s="199" t="s">
        <v>445</v>
      </c>
      <c r="B10" s="507" t="s">
        <v>446</v>
      </c>
      <c r="C10" s="508">
        <f t="shared" ref="C10:F10" si="6">C11</f>
        <v>774.9</v>
      </c>
      <c r="D10" s="525">
        <f t="shared" si="6"/>
        <v>817.46</v>
      </c>
      <c r="E10" s="525">
        <f t="shared" si="6"/>
        <v>651.86854999999991</v>
      </c>
      <c r="F10" s="525">
        <f t="shared" si="6"/>
        <v>865.97861999999986</v>
      </c>
      <c r="G10" s="373">
        <f t="shared" si="4"/>
        <v>1.0593528980011253</v>
      </c>
      <c r="H10">
        <v>817.46</v>
      </c>
    </row>
    <row r="11" spans="1:8" ht="41.25" customHeight="1">
      <c r="A11" s="199" t="s">
        <v>447</v>
      </c>
      <c r="B11" s="509" t="s">
        <v>448</v>
      </c>
      <c r="C11" s="511">
        <v>774.9</v>
      </c>
      <c r="D11" s="526">
        <f>271.26+8.1+538.1</f>
        <v>817.46</v>
      </c>
      <c r="E11" s="526">
        <f>223.71984+6.07557+448.84789-26.77475</f>
        <v>651.86854999999991</v>
      </c>
      <c r="F11" s="526">
        <f>301.88241+594.74633-38.8284+8.17828</f>
        <v>865.97861999999986</v>
      </c>
      <c r="G11" s="373">
        <f t="shared" si="4"/>
        <v>1.0593528980011253</v>
      </c>
      <c r="H11">
        <v>817.46</v>
      </c>
    </row>
    <row r="12" spans="1:8" ht="17.25" customHeight="1">
      <c r="A12" s="199" t="s">
        <v>449</v>
      </c>
      <c r="B12" s="507" t="s">
        <v>450</v>
      </c>
      <c r="C12" s="508">
        <f t="shared" ref="C12" si="7">SUM(C13:C15)</f>
        <v>7105</v>
      </c>
      <c r="D12" s="525">
        <f>SUM(D13:D15)</f>
        <v>8526</v>
      </c>
      <c r="E12" s="525">
        <f t="shared" ref="E12:F12" si="8">SUM(E13:E15)</f>
        <v>5761.1274599999997</v>
      </c>
      <c r="F12" s="525">
        <f t="shared" si="8"/>
        <v>8746.4128000000019</v>
      </c>
      <c r="G12" s="373">
        <f t="shared" si="4"/>
        <v>1.0258518414262259</v>
      </c>
      <c r="H12">
        <v>8526</v>
      </c>
    </row>
    <row r="13" spans="1:8" ht="15.75">
      <c r="A13" s="199" t="s">
        <v>451</v>
      </c>
      <c r="B13" s="507" t="s">
        <v>452</v>
      </c>
      <c r="C13" s="510">
        <v>259</v>
      </c>
      <c r="D13" s="526">
        <v>490</v>
      </c>
      <c r="E13" s="526">
        <f>324.18727+5.59463</f>
        <v>329.78190000000001</v>
      </c>
      <c r="F13" s="526">
        <f>467.02346+7.49133</f>
        <v>474.51479</v>
      </c>
      <c r="G13" s="373">
        <f t="shared" si="4"/>
        <v>0.96839753061224487</v>
      </c>
      <c r="H13">
        <v>490</v>
      </c>
    </row>
    <row r="14" spans="1:8" ht="19.5" customHeight="1">
      <c r="A14" s="199" t="s">
        <v>453</v>
      </c>
      <c r="B14" s="507" t="s">
        <v>454</v>
      </c>
      <c r="C14" s="510">
        <v>4046</v>
      </c>
      <c r="D14" s="526">
        <f>230+5266</f>
        <v>5496</v>
      </c>
      <c r="E14" s="526">
        <f>120.63293+0.47535+3385.1996+98.82637+0.0068</f>
        <v>3605.1410500000002</v>
      </c>
      <c r="F14" s="526">
        <f>122.91743+0.56963+1+5389.26029+150.33888+0.06016</f>
        <v>5664.1463900000008</v>
      </c>
      <c r="G14" s="373">
        <f t="shared" si="4"/>
        <v>1.0305943213245998</v>
      </c>
      <c r="H14">
        <v>5496</v>
      </c>
    </row>
    <row r="15" spans="1:8" ht="17.25" customHeight="1">
      <c r="A15" s="199" t="s">
        <v>455</v>
      </c>
      <c r="B15" s="507" t="s">
        <v>456</v>
      </c>
      <c r="C15" s="510">
        <v>2800</v>
      </c>
      <c r="D15" s="526">
        <f>1310+1230</f>
        <v>2540</v>
      </c>
      <c r="E15" s="526">
        <f>1096.6117+1.19932+721.20661+5.18471+2+0.00217</f>
        <v>1826.2045099999998</v>
      </c>
      <c r="F15" s="526">
        <f>1331.80032+1.19932+1259.09915+13.65283+2</f>
        <v>2607.75162</v>
      </c>
      <c r="G15" s="373">
        <f t="shared" si="4"/>
        <v>1.0266738661417323</v>
      </c>
      <c r="H15">
        <v>2540</v>
      </c>
    </row>
    <row r="16" spans="1:8" ht="17.25" hidden="1" customHeight="1" outlineLevel="1">
      <c r="A16" s="199" t="s">
        <v>457</v>
      </c>
      <c r="B16" s="509" t="s">
        <v>458</v>
      </c>
      <c r="C16" s="508">
        <f t="shared" ref="C16:F16" si="9">C17</f>
        <v>0</v>
      </c>
      <c r="D16" s="525">
        <f t="shared" si="9"/>
        <v>0</v>
      </c>
      <c r="E16" s="525">
        <f t="shared" si="9"/>
        <v>0</v>
      </c>
      <c r="F16" s="525">
        <f t="shared" si="9"/>
        <v>0</v>
      </c>
      <c r="G16" s="373"/>
      <c r="H16">
        <v>0</v>
      </c>
    </row>
    <row r="17" spans="1:8" ht="72" hidden="1" customHeight="1" outlineLevel="1">
      <c r="A17" s="202" t="s">
        <v>459</v>
      </c>
      <c r="B17" s="509" t="s">
        <v>460</v>
      </c>
      <c r="C17" s="510">
        <v>0</v>
      </c>
      <c r="D17" s="526">
        <v>0</v>
      </c>
      <c r="E17" s="526">
        <v>0</v>
      </c>
      <c r="F17" s="526">
        <v>0</v>
      </c>
      <c r="G17" s="373" t="e">
        <f t="shared" si="4"/>
        <v>#DIV/0!</v>
      </c>
      <c r="H17">
        <v>0</v>
      </c>
    </row>
    <row r="18" spans="1:8" ht="15.75" collapsed="1">
      <c r="A18" s="202"/>
      <c r="B18" s="505" t="s">
        <v>461</v>
      </c>
      <c r="C18" s="508">
        <f t="shared" ref="C18" si="10">C19+C25+C30+C34+C36</f>
        <v>3231</v>
      </c>
      <c r="D18" s="525">
        <f>D19+D25+D30+D34+D36</f>
        <v>6700.22</v>
      </c>
      <c r="E18" s="525">
        <f t="shared" ref="E18:F18" si="11">E19+E25+E30+E34+E36</f>
        <v>2477.4978299999998</v>
      </c>
      <c r="F18" s="525">
        <f t="shared" si="11"/>
        <v>6749.3073999999997</v>
      </c>
      <c r="G18" s="373">
        <f t="shared" si="4"/>
        <v>1.0073262370489326</v>
      </c>
      <c r="H18">
        <v>6700.22</v>
      </c>
    </row>
    <row r="19" spans="1:8" ht="45">
      <c r="A19" s="199" t="s">
        <v>462</v>
      </c>
      <c r="B19" s="509" t="s">
        <v>463</v>
      </c>
      <c r="C19" s="508">
        <f t="shared" ref="C19" si="12">SUM(C20:C24)</f>
        <v>3160</v>
      </c>
      <c r="D19" s="525">
        <f>SUM(D20:D24)</f>
        <v>1472.65</v>
      </c>
      <c r="E19" s="525">
        <f t="shared" ref="E19:F19" si="13">SUM(E20:E24)</f>
        <v>1216.3318199999999</v>
      </c>
      <c r="F19" s="525">
        <f t="shared" si="13"/>
        <v>1522.43929</v>
      </c>
      <c r="G19" s="373">
        <f t="shared" si="4"/>
        <v>1.0338093165382134</v>
      </c>
      <c r="H19">
        <v>1472.65</v>
      </c>
    </row>
    <row r="20" spans="1:8" ht="78.75" hidden="1" outlineLevel="1">
      <c r="A20" s="201" t="s">
        <v>464</v>
      </c>
      <c r="B20" s="507" t="s">
        <v>465</v>
      </c>
      <c r="C20" s="510">
        <v>1900</v>
      </c>
      <c r="D20" s="526">
        <v>0</v>
      </c>
      <c r="E20" s="526">
        <v>0</v>
      </c>
      <c r="F20" s="526">
        <v>0</v>
      </c>
      <c r="G20" s="373" t="e">
        <f t="shared" si="4"/>
        <v>#DIV/0!</v>
      </c>
      <c r="H20">
        <v>0</v>
      </c>
    </row>
    <row r="21" spans="1:8" ht="69" customHeight="1" collapsed="1">
      <c r="A21" s="201" t="s">
        <v>466</v>
      </c>
      <c r="B21" s="512" t="s">
        <v>467</v>
      </c>
      <c r="C21" s="513">
        <v>500</v>
      </c>
      <c r="D21" s="526">
        <f>52</f>
        <v>52</v>
      </c>
      <c r="E21" s="526">
        <v>36.09348</v>
      </c>
      <c r="F21" s="526">
        <f>55.10148</f>
        <v>55.101480000000002</v>
      </c>
      <c r="G21" s="373">
        <f t="shared" si="4"/>
        <v>1.0596438461538462</v>
      </c>
      <c r="H21">
        <v>52</v>
      </c>
    </row>
    <row r="22" spans="1:8" ht="36" customHeight="1">
      <c r="A22" s="201" t="s">
        <v>468</v>
      </c>
      <c r="B22" s="507" t="s">
        <v>469</v>
      </c>
      <c r="C22" s="513"/>
      <c r="D22" s="526">
        <v>595.65</v>
      </c>
      <c r="E22" s="526">
        <v>524.80376999999999</v>
      </c>
      <c r="F22" s="526">
        <v>616.06462999999997</v>
      </c>
      <c r="G22" s="373">
        <f t="shared" si="4"/>
        <v>1.0342728615797867</v>
      </c>
      <c r="H22">
        <v>595.65000000000009</v>
      </c>
    </row>
    <row r="23" spans="1:8" ht="45">
      <c r="A23" s="203" t="s">
        <v>470</v>
      </c>
      <c r="B23" s="507" t="s">
        <v>471</v>
      </c>
      <c r="C23" s="513">
        <v>60</v>
      </c>
      <c r="D23" s="526">
        <v>15</v>
      </c>
      <c r="E23" s="526">
        <v>9.4499999999999993</v>
      </c>
      <c r="F23" s="526">
        <v>18.899999999999999</v>
      </c>
      <c r="G23" s="373">
        <f t="shared" si="4"/>
        <v>1.26</v>
      </c>
      <c r="H23">
        <v>15</v>
      </c>
    </row>
    <row r="24" spans="1:8" ht="24" customHeight="1">
      <c r="A24" s="203" t="s">
        <v>472</v>
      </c>
      <c r="B24" s="507" t="s">
        <v>473</v>
      </c>
      <c r="C24" s="513">
        <v>700</v>
      </c>
      <c r="D24" s="526">
        <v>810</v>
      </c>
      <c r="E24" s="526">
        <v>645.98456999999996</v>
      </c>
      <c r="F24" s="526">
        <v>832.37318000000005</v>
      </c>
      <c r="G24" s="373">
        <f t="shared" si="4"/>
        <v>1.0276212098765434</v>
      </c>
      <c r="H24">
        <v>810</v>
      </c>
    </row>
    <row r="25" spans="1:8" ht="33.75">
      <c r="A25" s="203" t="s">
        <v>474</v>
      </c>
      <c r="B25" s="507" t="s">
        <v>475</v>
      </c>
      <c r="C25" s="508">
        <f>C26</f>
        <v>0</v>
      </c>
      <c r="D25" s="525">
        <f>D26</f>
        <v>60</v>
      </c>
      <c r="E25" s="525">
        <f>E26</f>
        <v>40</v>
      </c>
      <c r="F25" s="525">
        <f>F26</f>
        <v>60</v>
      </c>
      <c r="G25" s="373">
        <f t="shared" si="4"/>
        <v>1</v>
      </c>
      <c r="H25">
        <v>60</v>
      </c>
    </row>
    <row r="26" spans="1:8" ht="21">
      <c r="A26" s="211" t="s">
        <v>476</v>
      </c>
      <c r="B26" s="505" t="s">
        <v>477</v>
      </c>
      <c r="C26" s="508">
        <f t="shared" ref="C26" si="14">SUM(C27:C29)</f>
        <v>0</v>
      </c>
      <c r="D26" s="525">
        <f>SUM(D27:D29)</f>
        <v>60</v>
      </c>
      <c r="E26" s="525">
        <f t="shared" ref="E26:F26" si="15">SUM(E27:E29)</f>
        <v>40</v>
      </c>
      <c r="F26" s="525">
        <f t="shared" si="15"/>
        <v>60</v>
      </c>
      <c r="G26" s="373">
        <f t="shared" si="4"/>
        <v>1</v>
      </c>
      <c r="H26">
        <v>60</v>
      </c>
    </row>
    <row r="27" spans="1:8" ht="22.5">
      <c r="A27" s="203" t="s">
        <v>478</v>
      </c>
      <c r="B27" s="507" t="s">
        <v>479</v>
      </c>
      <c r="C27" s="510">
        <v>0</v>
      </c>
      <c r="D27" s="526">
        <v>60</v>
      </c>
      <c r="E27" s="526">
        <v>40</v>
      </c>
      <c r="F27" s="526">
        <v>60</v>
      </c>
      <c r="G27" s="373">
        <f t="shared" si="4"/>
        <v>1</v>
      </c>
      <c r="H27">
        <v>60</v>
      </c>
    </row>
    <row r="28" spans="1:8" ht="45" hidden="1" outlineLevel="1">
      <c r="A28" s="203" t="s">
        <v>480</v>
      </c>
      <c r="B28" s="507" t="s">
        <v>481</v>
      </c>
      <c r="C28" s="510"/>
      <c r="D28" s="526"/>
      <c r="E28" s="526"/>
      <c r="F28" s="526"/>
      <c r="G28" s="373" t="e">
        <f t="shared" si="4"/>
        <v>#DIV/0!</v>
      </c>
    </row>
    <row r="29" spans="1:8" ht="45" hidden="1" outlineLevel="1">
      <c r="A29" s="203" t="s">
        <v>482</v>
      </c>
      <c r="B29" s="514" t="s">
        <v>483</v>
      </c>
      <c r="C29" s="510">
        <v>0</v>
      </c>
      <c r="D29" s="526">
        <v>0</v>
      </c>
      <c r="E29" s="526">
        <v>0</v>
      </c>
      <c r="F29" s="526">
        <v>0</v>
      </c>
      <c r="G29" s="373" t="e">
        <f t="shared" si="4"/>
        <v>#DIV/0!</v>
      </c>
      <c r="H29">
        <v>0</v>
      </c>
    </row>
    <row r="30" spans="1:8" ht="33.75" collapsed="1">
      <c r="A30" s="199" t="s">
        <v>484</v>
      </c>
      <c r="B30" s="509" t="s">
        <v>485</v>
      </c>
      <c r="C30" s="508">
        <f>SUM(C31:C32)</f>
        <v>70</v>
      </c>
      <c r="D30" s="525">
        <f>SUM(D31:D33)</f>
        <v>5023.18</v>
      </c>
      <c r="E30" s="525">
        <f t="shared" ref="E30:F30" si="16">SUM(E31:E33)</f>
        <v>1130.9205099999999</v>
      </c>
      <c r="F30" s="525">
        <f t="shared" si="16"/>
        <v>5022.4771000000001</v>
      </c>
      <c r="G30" s="373">
        <f t="shared" si="4"/>
        <v>0.99986006872140754</v>
      </c>
      <c r="H30">
        <v>5023.18</v>
      </c>
    </row>
    <row r="31" spans="1:8" ht="90">
      <c r="A31" s="199" t="s">
        <v>486</v>
      </c>
      <c r="B31" s="507" t="s">
        <v>487</v>
      </c>
      <c r="C31" s="510">
        <v>0</v>
      </c>
      <c r="D31" s="526">
        <v>4113.7</v>
      </c>
      <c r="E31" s="526">
        <v>1049.96534</v>
      </c>
      <c r="F31" s="526">
        <v>4113.0452100000002</v>
      </c>
      <c r="G31" s="373">
        <f t="shared" si="4"/>
        <v>0.99984082699273169</v>
      </c>
      <c r="H31">
        <v>4113.7</v>
      </c>
    </row>
    <row r="32" spans="1:8" ht="45" hidden="1" outlineLevel="1">
      <c r="A32" s="199" t="s">
        <v>488</v>
      </c>
      <c r="B32" s="507" t="s">
        <v>489</v>
      </c>
      <c r="C32" s="510">
        <v>70</v>
      </c>
      <c r="D32" s="526">
        <v>0</v>
      </c>
      <c r="E32" s="526">
        <v>0</v>
      </c>
      <c r="F32" s="526">
        <v>0</v>
      </c>
      <c r="G32" s="373" t="e">
        <f t="shared" si="4"/>
        <v>#DIV/0!</v>
      </c>
      <c r="H32">
        <v>0</v>
      </c>
    </row>
    <row r="33" spans="1:10" ht="45" collapsed="1">
      <c r="A33" s="199" t="s">
        <v>490</v>
      </c>
      <c r="B33" s="507" t="s">
        <v>491</v>
      </c>
      <c r="C33" s="510"/>
      <c r="D33" s="526">
        <v>909.48</v>
      </c>
      <c r="E33" s="526">
        <v>80.955169999999995</v>
      </c>
      <c r="F33" s="526">
        <v>909.43188999999995</v>
      </c>
      <c r="G33" s="373">
        <f t="shared" si="4"/>
        <v>0.99994710164049783</v>
      </c>
      <c r="H33">
        <v>909.48</v>
      </c>
    </row>
    <row r="34" spans="1:10" ht="22.5">
      <c r="A34" s="199"/>
      <c r="B34" s="507" t="s">
        <v>492</v>
      </c>
      <c r="C34" s="508">
        <f t="shared" ref="C34:F34" si="17">C35</f>
        <v>1</v>
      </c>
      <c r="D34" s="525">
        <f t="shared" si="17"/>
        <v>12.38</v>
      </c>
      <c r="E34" s="525">
        <f t="shared" si="17"/>
        <v>12.083</v>
      </c>
      <c r="F34" s="525">
        <f t="shared" si="17"/>
        <v>12.382999999999999</v>
      </c>
      <c r="G34" s="373">
        <f t="shared" si="4"/>
        <v>1.0002423263327946</v>
      </c>
      <c r="H34">
        <v>12.379999999999999</v>
      </c>
    </row>
    <row r="35" spans="1:10" ht="33.75">
      <c r="A35" s="199" t="s">
        <v>493</v>
      </c>
      <c r="B35" s="507" t="s">
        <v>494</v>
      </c>
      <c r="C35" s="511">
        <v>1</v>
      </c>
      <c r="D35" s="526">
        <v>12.38</v>
      </c>
      <c r="E35" s="526">
        <v>12.083</v>
      </c>
      <c r="F35" s="526">
        <v>12.382999999999999</v>
      </c>
      <c r="G35" s="373">
        <f t="shared" si="4"/>
        <v>1.0002423263327946</v>
      </c>
      <c r="H35">
        <v>12.379999999999999</v>
      </c>
    </row>
    <row r="36" spans="1:10" ht="15.75">
      <c r="A36" s="206" t="s">
        <v>495</v>
      </c>
      <c r="B36" s="505" t="s">
        <v>496</v>
      </c>
      <c r="C36" s="508">
        <f>C37</f>
        <v>0</v>
      </c>
      <c r="D36" s="525">
        <f>D37</f>
        <v>132.01</v>
      </c>
      <c r="E36" s="525">
        <f>E37</f>
        <v>78.162499999999994</v>
      </c>
      <c r="F36" s="525">
        <f>F37</f>
        <v>132.00801000000001</v>
      </c>
      <c r="G36" s="373">
        <f t="shared" si="4"/>
        <v>0.99998492538444073</v>
      </c>
      <c r="H36">
        <v>132.01</v>
      </c>
    </row>
    <row r="37" spans="1:10" ht="15.75">
      <c r="A37" s="206" t="s">
        <v>497</v>
      </c>
      <c r="B37" s="505" t="s">
        <v>498</v>
      </c>
      <c r="C37" s="508">
        <f>C38+C39+C40</f>
        <v>0</v>
      </c>
      <c r="D37" s="525">
        <f>D38+D39+D40</f>
        <v>132.01</v>
      </c>
      <c r="E37" s="525">
        <f>E38+E39+E40</f>
        <v>78.162499999999994</v>
      </c>
      <c r="F37" s="525">
        <f>F38+F39+F40</f>
        <v>132.00801000000001</v>
      </c>
      <c r="G37" s="373">
        <f t="shared" si="4"/>
        <v>0.99998492538444073</v>
      </c>
      <c r="H37">
        <v>132.01</v>
      </c>
    </row>
    <row r="38" spans="1:10" ht="22.5" hidden="1" outlineLevel="1">
      <c r="A38" s="199" t="s">
        <v>499</v>
      </c>
      <c r="B38" s="507" t="s">
        <v>500</v>
      </c>
      <c r="C38" s="510"/>
      <c r="D38" s="526">
        <v>0</v>
      </c>
      <c r="E38" s="526"/>
      <c r="F38" s="526"/>
      <c r="G38" s="373" t="e">
        <f t="shared" si="4"/>
        <v>#DIV/0!</v>
      </c>
    </row>
    <row r="39" spans="1:10" ht="22.5" collapsed="1">
      <c r="A39" s="199" t="s">
        <v>501</v>
      </c>
      <c r="B39" s="507" t="s">
        <v>502</v>
      </c>
      <c r="C39" s="511">
        <v>0</v>
      </c>
      <c r="D39" s="526">
        <v>132.01</v>
      </c>
      <c r="E39" s="526">
        <v>78.162499999999994</v>
      </c>
      <c r="F39" s="526">
        <f>132.00801</f>
        <v>132.00801000000001</v>
      </c>
      <c r="G39" s="373">
        <f t="shared" si="4"/>
        <v>0.99998492538444073</v>
      </c>
      <c r="H39">
        <v>132.01</v>
      </c>
    </row>
    <row r="40" spans="1:10" ht="22.5" hidden="1" outlineLevel="1">
      <c r="A40" s="199" t="s">
        <v>503</v>
      </c>
      <c r="B40" s="507" t="s">
        <v>502</v>
      </c>
      <c r="C40" s="511">
        <v>0</v>
      </c>
      <c r="D40" s="526">
        <v>0</v>
      </c>
      <c r="E40" s="526">
        <v>0</v>
      </c>
      <c r="F40" s="526">
        <v>0</v>
      </c>
      <c r="G40" s="373" t="e">
        <f t="shared" si="4"/>
        <v>#DIV/0!</v>
      </c>
      <c r="H40">
        <v>0</v>
      </c>
    </row>
    <row r="41" spans="1:10" ht="15.75" collapsed="1">
      <c r="A41" s="206" t="s">
        <v>504</v>
      </c>
      <c r="B41" s="505" t="s">
        <v>505</v>
      </c>
      <c r="C41" s="508">
        <f t="shared" ref="C41:F41" si="18">C42</f>
        <v>11010.06</v>
      </c>
      <c r="D41" s="525">
        <f t="shared" si="18"/>
        <v>18534.995270000003</v>
      </c>
      <c r="E41" s="525">
        <f t="shared" si="18"/>
        <v>21006.409500000002</v>
      </c>
      <c r="F41" s="525">
        <f t="shared" si="18"/>
        <v>18165.691989999999</v>
      </c>
      <c r="G41" s="373">
        <f t="shared" si="4"/>
        <v>0.98007535072869734</v>
      </c>
      <c r="H41">
        <v>18101.775269999998</v>
      </c>
      <c r="I41" s="596">
        <f>D41-H41</f>
        <v>433.2200000000048</v>
      </c>
    </row>
    <row r="42" spans="1:10" ht="31.5">
      <c r="A42" s="206" t="s">
        <v>506</v>
      </c>
      <c r="B42" s="505" t="s">
        <v>507</v>
      </c>
      <c r="C42" s="515">
        <f>C43+C46+C50+C53+C56+C58</f>
        <v>11010.06</v>
      </c>
      <c r="D42" s="527">
        <f t="shared" ref="D42:E42" si="19">D43+D46+D50+D53</f>
        <v>18534.995270000003</v>
      </c>
      <c r="E42" s="527">
        <f t="shared" si="19"/>
        <v>21006.409500000002</v>
      </c>
      <c r="F42" s="527">
        <f>F43+F46+F50+F53</f>
        <v>18165.691989999999</v>
      </c>
      <c r="G42" s="373">
        <f t="shared" si="4"/>
        <v>0.98007535072869734</v>
      </c>
      <c r="H42">
        <v>18101.775269999998</v>
      </c>
    </row>
    <row r="43" spans="1:10" ht="33">
      <c r="A43" s="206" t="s">
        <v>508</v>
      </c>
      <c r="B43" s="505" t="s">
        <v>556</v>
      </c>
      <c r="C43" s="508">
        <f t="shared" ref="C43:E43" si="20">SUM(C44:C45)</f>
        <v>8412.4</v>
      </c>
      <c r="D43" s="525">
        <f>SUM(D44:D45)</f>
        <v>8412.4</v>
      </c>
      <c r="E43" s="525">
        <f t="shared" si="20"/>
        <v>7485.7349999999997</v>
      </c>
      <c r="F43" s="525">
        <f t="shared" ref="F43" si="21">SUM(F44:F45)</f>
        <v>8412.4</v>
      </c>
      <c r="G43" s="373">
        <f t="shared" si="4"/>
        <v>1</v>
      </c>
      <c r="H43" s="210">
        <v>8412.4</v>
      </c>
    </row>
    <row r="44" spans="1:10" ht="33.75">
      <c r="A44" s="199" t="s">
        <v>272</v>
      </c>
      <c r="B44" s="507" t="s">
        <v>273</v>
      </c>
      <c r="C44" s="513">
        <v>7842.9</v>
      </c>
      <c r="D44" s="526">
        <v>7842.9</v>
      </c>
      <c r="E44" s="526">
        <f>915.005+915.005+2745.015+1568.58+915.005</f>
        <v>7058.61</v>
      </c>
      <c r="F44" s="526">
        <v>7842.9</v>
      </c>
      <c r="G44" s="373">
        <f t="shared" si="4"/>
        <v>1</v>
      </c>
      <c r="H44">
        <v>7842.9</v>
      </c>
    </row>
    <row r="45" spans="1:10" ht="33.75">
      <c r="A45" s="199" t="s">
        <v>272</v>
      </c>
      <c r="B45" s="507" t="s">
        <v>274</v>
      </c>
      <c r="C45" s="513">
        <v>569.5</v>
      </c>
      <c r="D45" s="526">
        <v>569.5</v>
      </c>
      <c r="E45" s="526">
        <f>142.375+142.375+47.459+47.459+47.457</f>
        <v>427.125</v>
      </c>
      <c r="F45" s="526">
        <v>569.5</v>
      </c>
      <c r="G45" s="373">
        <f t="shared" si="4"/>
        <v>1</v>
      </c>
      <c r="H45">
        <v>569.5</v>
      </c>
    </row>
    <row r="46" spans="1:10" ht="31.5">
      <c r="A46" s="200" t="s">
        <v>509</v>
      </c>
      <c r="B46" s="505" t="s">
        <v>510</v>
      </c>
      <c r="C46" s="508">
        <f>SUM(C48:C49)</f>
        <v>2090</v>
      </c>
      <c r="D46" s="525">
        <f>SUM(D47:D49)</f>
        <v>5930.14</v>
      </c>
      <c r="E46" s="525">
        <f t="shared" ref="E46" si="22">SUM(E47:F49)</f>
        <v>11140.68</v>
      </c>
      <c r="F46" s="525">
        <f>SUM(F47:F49)</f>
        <v>5930.1399999999994</v>
      </c>
      <c r="G46" s="373">
        <f t="shared" si="4"/>
        <v>0.99999999999999989</v>
      </c>
      <c r="H46">
        <v>5307.4400000000005</v>
      </c>
      <c r="J46" s="595"/>
    </row>
    <row r="47" spans="1:10" ht="56.25">
      <c r="A47" s="199" t="s">
        <v>275</v>
      </c>
      <c r="B47" s="507" t="s">
        <v>511</v>
      </c>
      <c r="C47" s="510">
        <v>0</v>
      </c>
      <c r="D47" s="526">
        <v>800</v>
      </c>
      <c r="E47" s="526">
        <v>949.5</v>
      </c>
      <c r="F47" s="526">
        <v>800</v>
      </c>
      <c r="G47" s="373">
        <f t="shared" si="4"/>
        <v>1</v>
      </c>
      <c r="H47">
        <v>1749.5</v>
      </c>
    </row>
    <row r="48" spans="1:10" ht="56.25">
      <c r="A48" s="199" t="s">
        <v>275</v>
      </c>
      <c r="B48" s="507" t="s">
        <v>511</v>
      </c>
      <c r="C48" s="510">
        <v>0</v>
      </c>
      <c r="D48" s="526">
        <f>949.5</f>
        <v>949.5</v>
      </c>
      <c r="E48" s="526">
        <v>949.5</v>
      </c>
      <c r="F48" s="526">
        <v>949.5</v>
      </c>
      <c r="G48" s="373">
        <f t="shared" si="4"/>
        <v>1</v>
      </c>
    </row>
    <row r="49" spans="1:16" ht="15.75">
      <c r="A49" s="199" t="s">
        <v>277</v>
      </c>
      <c r="B49" s="507" t="s">
        <v>512</v>
      </c>
      <c r="C49" s="510">
        <v>2090</v>
      </c>
      <c r="D49" s="526">
        <f>2090+482.34+985.6+622.7</f>
        <v>4180.6400000000003</v>
      </c>
      <c r="E49" s="526">
        <f>739.2+2090+482.34</f>
        <v>3311.54</v>
      </c>
      <c r="F49" s="526">
        <f>985.6+2712.7+482.34</f>
        <v>4180.6399999999994</v>
      </c>
      <c r="G49" s="373">
        <f t="shared" si="4"/>
        <v>0.99999999999999978</v>
      </c>
      <c r="H49">
        <v>3557.94</v>
      </c>
      <c r="I49" s="596">
        <f>D49-H49</f>
        <v>622.70000000000027</v>
      </c>
    </row>
    <row r="50" spans="1:16" ht="31.5">
      <c r="A50" s="199" t="s">
        <v>513</v>
      </c>
      <c r="B50" s="505" t="s">
        <v>514</v>
      </c>
      <c r="C50" s="508">
        <f t="shared" ref="C50:E50" si="23">SUM(C51:C52)</f>
        <v>455.5</v>
      </c>
      <c r="D50" s="525">
        <f t="shared" si="23"/>
        <v>298.52999999999997</v>
      </c>
      <c r="E50" s="525">
        <f t="shared" si="23"/>
        <v>298.52999999999997</v>
      </c>
      <c r="F50" s="525">
        <f t="shared" ref="F50" si="24">SUM(F51:F52)</f>
        <v>298.52999999999997</v>
      </c>
      <c r="G50" s="373">
        <f t="shared" si="4"/>
        <v>1</v>
      </c>
      <c r="H50">
        <v>276.51</v>
      </c>
    </row>
    <row r="51" spans="1:16" ht="45">
      <c r="A51" s="199" t="s">
        <v>279</v>
      </c>
      <c r="B51" s="507" t="s">
        <v>280</v>
      </c>
      <c r="C51" s="513">
        <v>454.5</v>
      </c>
      <c r="D51" s="526">
        <f>297.53</f>
        <v>297.52999999999997</v>
      </c>
      <c r="E51" s="526">
        <f t="shared" ref="E51:F51" si="25">297.53</f>
        <v>297.52999999999997</v>
      </c>
      <c r="F51" s="526">
        <f t="shared" si="25"/>
        <v>297.52999999999997</v>
      </c>
      <c r="G51" s="373">
        <f t="shared" si="4"/>
        <v>1</v>
      </c>
      <c r="H51">
        <v>275.51</v>
      </c>
      <c r="I51" s="596">
        <f>D51-H51</f>
        <v>22.019999999999982</v>
      </c>
    </row>
    <row r="52" spans="1:16" ht="33.75">
      <c r="A52" s="199" t="s">
        <v>281</v>
      </c>
      <c r="B52" s="507" t="s">
        <v>515</v>
      </c>
      <c r="C52" s="513">
        <v>1</v>
      </c>
      <c r="D52" s="526">
        <v>1</v>
      </c>
      <c r="E52" s="526">
        <v>1</v>
      </c>
      <c r="F52" s="526">
        <v>1</v>
      </c>
      <c r="G52" s="373">
        <f t="shared" si="4"/>
        <v>1</v>
      </c>
      <c r="H52">
        <v>1</v>
      </c>
    </row>
    <row r="53" spans="1:16" ht="15.75">
      <c r="A53" s="206" t="s">
        <v>516</v>
      </c>
      <c r="B53" s="505" t="s">
        <v>517</v>
      </c>
      <c r="C53" s="508">
        <f t="shared" ref="C53:E53" si="26">SUM(C54:C55)</f>
        <v>52.16</v>
      </c>
      <c r="D53" s="525">
        <f t="shared" si="26"/>
        <v>3893.9252700000002</v>
      </c>
      <c r="E53" s="525">
        <f t="shared" si="26"/>
        <v>2081.4645</v>
      </c>
      <c r="F53" s="525">
        <f t="shared" ref="F53" si="27">SUM(F54:F55)</f>
        <v>3524.6219900000001</v>
      </c>
      <c r="G53" s="373">
        <f t="shared" si="4"/>
        <v>0.90515912494643225</v>
      </c>
      <c r="H53">
        <v>4105.4252699999997</v>
      </c>
    </row>
    <row r="54" spans="1:16" ht="67.5">
      <c r="A54" s="199" t="s">
        <v>283</v>
      </c>
      <c r="B54" s="507" t="s">
        <v>284</v>
      </c>
      <c r="C54" s="510">
        <v>6.5</v>
      </c>
      <c r="D54" s="526">
        <v>6.5</v>
      </c>
      <c r="E54" s="526">
        <v>6.5</v>
      </c>
      <c r="F54" s="526">
        <v>6.5</v>
      </c>
      <c r="G54" s="373">
        <f t="shared" si="4"/>
        <v>1</v>
      </c>
      <c r="H54">
        <v>6.5</v>
      </c>
    </row>
    <row r="55" spans="1:16" ht="26.25" customHeight="1">
      <c r="A55" s="199" t="s">
        <v>285</v>
      </c>
      <c r="B55" s="507" t="s">
        <v>518</v>
      </c>
      <c r="C55" s="513">
        <v>45.66</v>
      </c>
      <c r="D55" s="526">
        <f>3280+45.42527+200+112+250</f>
        <v>3887.4252700000002</v>
      </c>
      <c r="E55" s="528">
        <f>1467.53923+45.42527+200+112+250</f>
        <v>2074.9645</v>
      </c>
      <c r="F55" s="528">
        <f>2910.69672+45.42527+200+112+250</f>
        <v>3518.1219900000001</v>
      </c>
      <c r="G55" s="373">
        <f t="shared" si="4"/>
        <v>0.90500054551530962</v>
      </c>
      <c r="H55">
        <v>4098.9252699999997</v>
      </c>
      <c r="I55" s="596">
        <f>D55-H55</f>
        <v>-211.49999999999955</v>
      </c>
      <c r="L55" s="596"/>
      <c r="M55" s="596"/>
    </row>
    <row r="56" spans="1:16" ht="42">
      <c r="A56" s="206" t="s">
        <v>519</v>
      </c>
      <c r="B56" s="505" t="s">
        <v>520</v>
      </c>
      <c r="C56" s="508">
        <f t="shared" ref="C56:F56" si="28">C57</f>
        <v>0</v>
      </c>
      <c r="D56" s="525">
        <f t="shared" si="28"/>
        <v>0</v>
      </c>
      <c r="E56" s="525">
        <f t="shared" si="28"/>
        <v>429</v>
      </c>
      <c r="F56" s="525">
        <f t="shared" si="28"/>
        <v>429</v>
      </c>
      <c r="G56" s="373"/>
      <c r="H56" s="204">
        <v>0</v>
      </c>
    </row>
    <row r="57" spans="1:16" ht="56.25">
      <c r="A57" s="199" t="s">
        <v>521</v>
      </c>
      <c r="B57" s="507" t="s">
        <v>522</v>
      </c>
      <c r="C57" s="511"/>
      <c r="D57" s="526">
        <f>429-429</f>
        <v>0</v>
      </c>
      <c r="E57" s="526">
        <v>429</v>
      </c>
      <c r="F57" s="526">
        <v>429</v>
      </c>
      <c r="G57" s="373"/>
      <c r="H57">
        <v>0</v>
      </c>
    </row>
    <row r="58" spans="1:16" ht="42">
      <c r="A58" s="206" t="s">
        <v>523</v>
      </c>
      <c r="B58" s="505" t="s">
        <v>524</v>
      </c>
      <c r="C58" s="508">
        <f>C59</f>
        <v>0</v>
      </c>
      <c r="D58" s="525">
        <f>D59</f>
        <v>0</v>
      </c>
      <c r="E58" s="525">
        <f>E59</f>
        <v>-138.76</v>
      </c>
      <c r="F58" s="525">
        <f>F59</f>
        <v>-138.76</v>
      </c>
      <c r="G58" s="373"/>
      <c r="H58">
        <v>0</v>
      </c>
      <c r="O58" s="595"/>
    </row>
    <row r="59" spans="1:16" ht="45">
      <c r="A59" s="199" t="s">
        <v>287</v>
      </c>
      <c r="B59" s="507" t="s">
        <v>525</v>
      </c>
      <c r="C59" s="511"/>
      <c r="D59" s="526">
        <f>775-775</f>
        <v>0</v>
      </c>
      <c r="E59" s="526">
        <v>-138.76</v>
      </c>
      <c r="F59" s="526">
        <v>-138.76</v>
      </c>
      <c r="G59" s="373"/>
      <c r="H59">
        <v>0</v>
      </c>
    </row>
    <row r="60" spans="1:16" ht="15.75">
      <c r="A60" s="611" t="s">
        <v>526</v>
      </c>
      <c r="B60" s="611"/>
      <c r="C60" s="208">
        <f>C8+C10+C12+C16+C19+C25+C30+C34+C36+C41</f>
        <v>36207.99</v>
      </c>
      <c r="D60" s="519">
        <f t="shared" ref="D60:E60" si="29">D8+D10+D12+D16+D19+D25+D30+D34+D36+D41+D56+D58</f>
        <v>48665.705270000006</v>
      </c>
      <c r="E60" s="519">
        <f t="shared" si="29"/>
        <v>41787.308379999995</v>
      </c>
      <c r="F60" s="519">
        <f>F8+F10+F12+F16+F19+F25+F30+F34+F36+F41+F56+F58</f>
        <v>48874.7088</v>
      </c>
      <c r="G60" s="377">
        <f>F60/D60</f>
        <v>1.0042946779223774</v>
      </c>
      <c r="H60">
        <v>48232.485270000005</v>
      </c>
      <c r="I60" s="595">
        <f>D60-H60</f>
        <v>433.22000000000116</v>
      </c>
    </row>
    <row r="61" spans="1:16">
      <c r="I61" s="209"/>
      <c r="O61" s="595"/>
      <c r="P61" s="596"/>
    </row>
    <row r="62" spans="1:16">
      <c r="E62" s="376"/>
      <c r="F62" s="376"/>
    </row>
    <row r="63" spans="1:16">
      <c r="D63" s="529"/>
      <c r="F63" s="529"/>
    </row>
    <row r="64" spans="1:16">
      <c r="D64" s="214"/>
      <c r="E64" s="214"/>
      <c r="F64" s="214"/>
    </row>
  </sheetData>
  <mergeCells count="4">
    <mergeCell ref="A60:B60"/>
    <mergeCell ref="A4:G4"/>
    <mergeCell ref="F2:G2"/>
    <mergeCell ref="F1:G1"/>
  </mergeCells>
  <pageMargins left="0.9055118110236221" right="0.31496062992125984" top="0.74803149606299213" bottom="0.74803149606299213" header="0.31496062992125984" footer="0.31496062992125984"/>
  <pageSetup paperSize="9" scale="81" orientation="portrait" r:id="rId1"/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E21"/>
  <sheetViews>
    <sheetView view="pageBreakPreview" zoomScale="60" zoomScaleNormal="100" workbookViewId="0">
      <selection activeCell="B13" sqref="B13"/>
    </sheetView>
  </sheetViews>
  <sheetFormatPr defaultRowHeight="12.75"/>
  <cols>
    <col min="1" max="1" width="23.5703125" style="117" customWidth="1"/>
    <col min="2" max="2" width="48.7109375" style="117" customWidth="1"/>
    <col min="3" max="4" width="16.28515625" style="117" customWidth="1"/>
    <col min="5" max="5" width="14.140625" style="117" customWidth="1"/>
    <col min="6" max="250" width="9.140625" style="117"/>
    <col min="251" max="251" width="22.140625" style="117" customWidth="1"/>
    <col min="252" max="252" width="49.85546875" style="117" customWidth="1"/>
    <col min="253" max="253" width="15.140625" style="117" customWidth="1"/>
    <col min="254" max="254" width="14.140625" style="117" customWidth="1"/>
    <col min="255" max="255" width="12" style="117" customWidth="1"/>
    <col min="256" max="256" width="9.85546875" style="117" customWidth="1"/>
    <col min="257" max="257" width="9.140625" style="117" customWidth="1"/>
    <col min="258" max="258" width="9.7109375" style="117" customWidth="1"/>
    <col min="259" max="259" width="9.140625" style="117" customWidth="1"/>
    <col min="260" max="506" width="9.140625" style="117"/>
    <col min="507" max="507" width="22.140625" style="117" customWidth="1"/>
    <col min="508" max="508" width="49.85546875" style="117" customWidth="1"/>
    <col min="509" max="509" width="15.140625" style="117" customWidth="1"/>
    <col min="510" max="510" width="14.140625" style="117" customWidth="1"/>
    <col min="511" max="511" width="12" style="117" customWidth="1"/>
    <col min="512" max="512" width="9.85546875" style="117" customWidth="1"/>
    <col min="513" max="513" width="9.140625" style="117" customWidth="1"/>
    <col min="514" max="514" width="9.7109375" style="117" customWidth="1"/>
    <col min="515" max="515" width="9.140625" style="117" customWidth="1"/>
    <col min="516" max="762" width="9.140625" style="117"/>
    <col min="763" max="763" width="22.140625" style="117" customWidth="1"/>
    <col min="764" max="764" width="49.85546875" style="117" customWidth="1"/>
    <col min="765" max="765" width="15.140625" style="117" customWidth="1"/>
    <col min="766" max="766" width="14.140625" style="117" customWidth="1"/>
    <col min="767" max="767" width="12" style="117" customWidth="1"/>
    <col min="768" max="768" width="9.85546875" style="117" customWidth="1"/>
    <col min="769" max="769" width="9.140625" style="117" customWidth="1"/>
    <col min="770" max="770" width="9.7109375" style="117" customWidth="1"/>
    <col min="771" max="771" width="9.140625" style="117" customWidth="1"/>
    <col min="772" max="1018" width="9.140625" style="117"/>
    <col min="1019" max="1019" width="22.140625" style="117" customWidth="1"/>
    <col min="1020" max="1020" width="49.85546875" style="117" customWidth="1"/>
    <col min="1021" max="1021" width="15.140625" style="117" customWidth="1"/>
    <col min="1022" max="1022" width="14.140625" style="117" customWidth="1"/>
    <col min="1023" max="1023" width="12" style="117" customWidth="1"/>
    <col min="1024" max="1024" width="9.85546875" style="117" customWidth="1"/>
    <col min="1025" max="1025" width="9.140625" style="117" customWidth="1"/>
    <col min="1026" max="1026" width="9.7109375" style="117" customWidth="1"/>
    <col min="1027" max="1027" width="9.140625" style="117" customWidth="1"/>
    <col min="1028" max="1274" width="9.140625" style="117"/>
    <col min="1275" max="1275" width="22.140625" style="117" customWidth="1"/>
    <col min="1276" max="1276" width="49.85546875" style="117" customWidth="1"/>
    <col min="1277" max="1277" width="15.140625" style="117" customWidth="1"/>
    <col min="1278" max="1278" width="14.140625" style="117" customWidth="1"/>
    <col min="1279" max="1279" width="12" style="117" customWidth="1"/>
    <col min="1280" max="1280" width="9.85546875" style="117" customWidth="1"/>
    <col min="1281" max="1281" width="9.140625" style="117" customWidth="1"/>
    <col min="1282" max="1282" width="9.7109375" style="117" customWidth="1"/>
    <col min="1283" max="1283" width="9.140625" style="117" customWidth="1"/>
    <col min="1284" max="1530" width="9.140625" style="117"/>
    <col min="1531" max="1531" width="22.140625" style="117" customWidth="1"/>
    <col min="1532" max="1532" width="49.85546875" style="117" customWidth="1"/>
    <col min="1533" max="1533" width="15.140625" style="117" customWidth="1"/>
    <col min="1534" max="1534" width="14.140625" style="117" customWidth="1"/>
    <col min="1535" max="1535" width="12" style="117" customWidth="1"/>
    <col min="1536" max="1536" width="9.85546875" style="117" customWidth="1"/>
    <col min="1537" max="1537" width="9.140625" style="117" customWidth="1"/>
    <col min="1538" max="1538" width="9.7109375" style="117" customWidth="1"/>
    <col min="1539" max="1539" width="9.140625" style="117" customWidth="1"/>
    <col min="1540" max="1786" width="9.140625" style="117"/>
    <col min="1787" max="1787" width="22.140625" style="117" customWidth="1"/>
    <col min="1788" max="1788" width="49.85546875" style="117" customWidth="1"/>
    <col min="1789" max="1789" width="15.140625" style="117" customWidth="1"/>
    <col min="1790" max="1790" width="14.140625" style="117" customWidth="1"/>
    <col min="1791" max="1791" width="12" style="117" customWidth="1"/>
    <col min="1792" max="1792" width="9.85546875" style="117" customWidth="1"/>
    <col min="1793" max="1793" width="9.140625" style="117" customWidth="1"/>
    <col min="1794" max="1794" width="9.7109375" style="117" customWidth="1"/>
    <col min="1795" max="1795" width="9.140625" style="117" customWidth="1"/>
    <col min="1796" max="2042" width="9.140625" style="117"/>
    <col min="2043" max="2043" width="22.140625" style="117" customWidth="1"/>
    <col min="2044" max="2044" width="49.85546875" style="117" customWidth="1"/>
    <col min="2045" max="2045" width="15.140625" style="117" customWidth="1"/>
    <col min="2046" max="2046" width="14.140625" style="117" customWidth="1"/>
    <col min="2047" max="2047" width="12" style="117" customWidth="1"/>
    <col min="2048" max="2048" width="9.85546875" style="117" customWidth="1"/>
    <col min="2049" max="2049" width="9.140625" style="117" customWidth="1"/>
    <col min="2050" max="2050" width="9.7109375" style="117" customWidth="1"/>
    <col min="2051" max="2051" width="9.140625" style="117" customWidth="1"/>
    <col min="2052" max="2298" width="9.140625" style="117"/>
    <col min="2299" max="2299" width="22.140625" style="117" customWidth="1"/>
    <col min="2300" max="2300" width="49.85546875" style="117" customWidth="1"/>
    <col min="2301" max="2301" width="15.140625" style="117" customWidth="1"/>
    <col min="2302" max="2302" width="14.140625" style="117" customWidth="1"/>
    <col min="2303" max="2303" width="12" style="117" customWidth="1"/>
    <col min="2304" max="2304" width="9.85546875" style="117" customWidth="1"/>
    <col min="2305" max="2305" width="9.140625" style="117" customWidth="1"/>
    <col min="2306" max="2306" width="9.7109375" style="117" customWidth="1"/>
    <col min="2307" max="2307" width="9.140625" style="117" customWidth="1"/>
    <col min="2308" max="2554" width="9.140625" style="117"/>
    <col min="2555" max="2555" width="22.140625" style="117" customWidth="1"/>
    <col min="2556" max="2556" width="49.85546875" style="117" customWidth="1"/>
    <col min="2557" max="2557" width="15.140625" style="117" customWidth="1"/>
    <col min="2558" max="2558" width="14.140625" style="117" customWidth="1"/>
    <col min="2559" max="2559" width="12" style="117" customWidth="1"/>
    <col min="2560" max="2560" width="9.85546875" style="117" customWidth="1"/>
    <col min="2561" max="2561" width="9.140625" style="117" customWidth="1"/>
    <col min="2562" max="2562" width="9.7109375" style="117" customWidth="1"/>
    <col min="2563" max="2563" width="9.140625" style="117" customWidth="1"/>
    <col min="2564" max="2810" width="9.140625" style="117"/>
    <col min="2811" max="2811" width="22.140625" style="117" customWidth="1"/>
    <col min="2812" max="2812" width="49.85546875" style="117" customWidth="1"/>
    <col min="2813" max="2813" width="15.140625" style="117" customWidth="1"/>
    <col min="2814" max="2814" width="14.140625" style="117" customWidth="1"/>
    <col min="2815" max="2815" width="12" style="117" customWidth="1"/>
    <col min="2816" max="2816" width="9.85546875" style="117" customWidth="1"/>
    <col min="2817" max="2817" width="9.140625" style="117" customWidth="1"/>
    <col min="2818" max="2818" width="9.7109375" style="117" customWidth="1"/>
    <col min="2819" max="2819" width="9.140625" style="117" customWidth="1"/>
    <col min="2820" max="3066" width="9.140625" style="117"/>
    <col min="3067" max="3067" width="22.140625" style="117" customWidth="1"/>
    <col min="3068" max="3068" width="49.85546875" style="117" customWidth="1"/>
    <col min="3069" max="3069" width="15.140625" style="117" customWidth="1"/>
    <col min="3070" max="3070" width="14.140625" style="117" customWidth="1"/>
    <col min="3071" max="3071" width="12" style="117" customWidth="1"/>
    <col min="3072" max="3072" width="9.85546875" style="117" customWidth="1"/>
    <col min="3073" max="3073" width="9.140625" style="117" customWidth="1"/>
    <col min="3074" max="3074" width="9.7109375" style="117" customWidth="1"/>
    <col min="3075" max="3075" width="9.140625" style="117" customWidth="1"/>
    <col min="3076" max="3322" width="9.140625" style="117"/>
    <col min="3323" max="3323" width="22.140625" style="117" customWidth="1"/>
    <col min="3324" max="3324" width="49.85546875" style="117" customWidth="1"/>
    <col min="3325" max="3325" width="15.140625" style="117" customWidth="1"/>
    <col min="3326" max="3326" width="14.140625" style="117" customWidth="1"/>
    <col min="3327" max="3327" width="12" style="117" customWidth="1"/>
    <col min="3328" max="3328" width="9.85546875" style="117" customWidth="1"/>
    <col min="3329" max="3329" width="9.140625" style="117" customWidth="1"/>
    <col min="3330" max="3330" width="9.7109375" style="117" customWidth="1"/>
    <col min="3331" max="3331" width="9.140625" style="117" customWidth="1"/>
    <col min="3332" max="3578" width="9.140625" style="117"/>
    <col min="3579" max="3579" width="22.140625" style="117" customWidth="1"/>
    <col min="3580" max="3580" width="49.85546875" style="117" customWidth="1"/>
    <col min="3581" max="3581" width="15.140625" style="117" customWidth="1"/>
    <col min="3582" max="3582" width="14.140625" style="117" customWidth="1"/>
    <col min="3583" max="3583" width="12" style="117" customWidth="1"/>
    <col min="3584" max="3584" width="9.85546875" style="117" customWidth="1"/>
    <col min="3585" max="3585" width="9.140625" style="117" customWidth="1"/>
    <col min="3586" max="3586" width="9.7109375" style="117" customWidth="1"/>
    <col min="3587" max="3587" width="9.140625" style="117" customWidth="1"/>
    <col min="3588" max="3834" width="9.140625" style="117"/>
    <col min="3835" max="3835" width="22.140625" style="117" customWidth="1"/>
    <col min="3836" max="3836" width="49.85546875" style="117" customWidth="1"/>
    <col min="3837" max="3837" width="15.140625" style="117" customWidth="1"/>
    <col min="3838" max="3838" width="14.140625" style="117" customWidth="1"/>
    <col min="3839" max="3839" width="12" style="117" customWidth="1"/>
    <col min="3840" max="3840" width="9.85546875" style="117" customWidth="1"/>
    <col min="3841" max="3841" width="9.140625" style="117" customWidth="1"/>
    <col min="3842" max="3842" width="9.7109375" style="117" customWidth="1"/>
    <col min="3843" max="3843" width="9.140625" style="117" customWidth="1"/>
    <col min="3844" max="4090" width="9.140625" style="117"/>
    <col min="4091" max="4091" width="22.140625" style="117" customWidth="1"/>
    <col min="4092" max="4092" width="49.85546875" style="117" customWidth="1"/>
    <col min="4093" max="4093" width="15.140625" style="117" customWidth="1"/>
    <col min="4094" max="4094" width="14.140625" style="117" customWidth="1"/>
    <col min="4095" max="4095" width="12" style="117" customWidth="1"/>
    <col min="4096" max="4096" width="9.85546875" style="117" customWidth="1"/>
    <col min="4097" max="4097" width="9.140625" style="117" customWidth="1"/>
    <col min="4098" max="4098" width="9.7109375" style="117" customWidth="1"/>
    <col min="4099" max="4099" width="9.140625" style="117" customWidth="1"/>
    <col min="4100" max="4346" width="9.140625" style="117"/>
    <col min="4347" max="4347" width="22.140625" style="117" customWidth="1"/>
    <col min="4348" max="4348" width="49.85546875" style="117" customWidth="1"/>
    <col min="4349" max="4349" width="15.140625" style="117" customWidth="1"/>
    <col min="4350" max="4350" width="14.140625" style="117" customWidth="1"/>
    <col min="4351" max="4351" width="12" style="117" customWidth="1"/>
    <col min="4352" max="4352" width="9.85546875" style="117" customWidth="1"/>
    <col min="4353" max="4353" width="9.140625" style="117" customWidth="1"/>
    <col min="4354" max="4354" width="9.7109375" style="117" customWidth="1"/>
    <col min="4355" max="4355" width="9.140625" style="117" customWidth="1"/>
    <col min="4356" max="4602" width="9.140625" style="117"/>
    <col min="4603" max="4603" width="22.140625" style="117" customWidth="1"/>
    <col min="4604" max="4604" width="49.85546875" style="117" customWidth="1"/>
    <col min="4605" max="4605" width="15.140625" style="117" customWidth="1"/>
    <col min="4606" max="4606" width="14.140625" style="117" customWidth="1"/>
    <col min="4607" max="4607" width="12" style="117" customWidth="1"/>
    <col min="4608" max="4608" width="9.85546875" style="117" customWidth="1"/>
    <col min="4609" max="4609" width="9.140625" style="117" customWidth="1"/>
    <col min="4610" max="4610" width="9.7109375" style="117" customWidth="1"/>
    <col min="4611" max="4611" width="9.140625" style="117" customWidth="1"/>
    <col min="4612" max="4858" width="9.140625" style="117"/>
    <col min="4859" max="4859" width="22.140625" style="117" customWidth="1"/>
    <col min="4860" max="4860" width="49.85546875" style="117" customWidth="1"/>
    <col min="4861" max="4861" width="15.140625" style="117" customWidth="1"/>
    <col min="4862" max="4862" width="14.140625" style="117" customWidth="1"/>
    <col min="4863" max="4863" width="12" style="117" customWidth="1"/>
    <col min="4864" max="4864" width="9.85546875" style="117" customWidth="1"/>
    <col min="4865" max="4865" width="9.140625" style="117" customWidth="1"/>
    <col min="4866" max="4866" width="9.7109375" style="117" customWidth="1"/>
    <col min="4867" max="4867" width="9.140625" style="117" customWidth="1"/>
    <col min="4868" max="5114" width="9.140625" style="117"/>
    <col min="5115" max="5115" width="22.140625" style="117" customWidth="1"/>
    <col min="5116" max="5116" width="49.85546875" style="117" customWidth="1"/>
    <col min="5117" max="5117" width="15.140625" style="117" customWidth="1"/>
    <col min="5118" max="5118" width="14.140625" style="117" customWidth="1"/>
    <col min="5119" max="5119" width="12" style="117" customWidth="1"/>
    <col min="5120" max="5120" width="9.85546875" style="117" customWidth="1"/>
    <col min="5121" max="5121" width="9.140625" style="117" customWidth="1"/>
    <col min="5122" max="5122" width="9.7109375" style="117" customWidth="1"/>
    <col min="5123" max="5123" width="9.140625" style="117" customWidth="1"/>
    <col min="5124" max="5370" width="9.140625" style="117"/>
    <col min="5371" max="5371" width="22.140625" style="117" customWidth="1"/>
    <col min="5372" max="5372" width="49.85546875" style="117" customWidth="1"/>
    <col min="5373" max="5373" width="15.140625" style="117" customWidth="1"/>
    <col min="5374" max="5374" width="14.140625" style="117" customWidth="1"/>
    <col min="5375" max="5375" width="12" style="117" customWidth="1"/>
    <col min="5376" max="5376" width="9.85546875" style="117" customWidth="1"/>
    <col min="5377" max="5377" width="9.140625" style="117" customWidth="1"/>
    <col min="5378" max="5378" width="9.7109375" style="117" customWidth="1"/>
    <col min="5379" max="5379" width="9.140625" style="117" customWidth="1"/>
    <col min="5380" max="5626" width="9.140625" style="117"/>
    <col min="5627" max="5627" width="22.140625" style="117" customWidth="1"/>
    <col min="5628" max="5628" width="49.85546875" style="117" customWidth="1"/>
    <col min="5629" max="5629" width="15.140625" style="117" customWidth="1"/>
    <col min="5630" max="5630" width="14.140625" style="117" customWidth="1"/>
    <col min="5631" max="5631" width="12" style="117" customWidth="1"/>
    <col min="5632" max="5632" width="9.85546875" style="117" customWidth="1"/>
    <col min="5633" max="5633" width="9.140625" style="117" customWidth="1"/>
    <col min="5634" max="5634" width="9.7109375" style="117" customWidth="1"/>
    <col min="5635" max="5635" width="9.140625" style="117" customWidth="1"/>
    <col min="5636" max="5882" width="9.140625" style="117"/>
    <col min="5883" max="5883" width="22.140625" style="117" customWidth="1"/>
    <col min="5884" max="5884" width="49.85546875" style="117" customWidth="1"/>
    <col min="5885" max="5885" width="15.140625" style="117" customWidth="1"/>
    <col min="5886" max="5886" width="14.140625" style="117" customWidth="1"/>
    <col min="5887" max="5887" width="12" style="117" customWidth="1"/>
    <col min="5888" max="5888" width="9.85546875" style="117" customWidth="1"/>
    <col min="5889" max="5889" width="9.140625" style="117" customWidth="1"/>
    <col min="5890" max="5890" width="9.7109375" style="117" customWidth="1"/>
    <col min="5891" max="5891" width="9.140625" style="117" customWidth="1"/>
    <col min="5892" max="6138" width="9.140625" style="117"/>
    <col min="6139" max="6139" width="22.140625" style="117" customWidth="1"/>
    <col min="6140" max="6140" width="49.85546875" style="117" customWidth="1"/>
    <col min="6141" max="6141" width="15.140625" style="117" customWidth="1"/>
    <col min="6142" max="6142" width="14.140625" style="117" customWidth="1"/>
    <col min="6143" max="6143" width="12" style="117" customWidth="1"/>
    <col min="6144" max="6144" width="9.85546875" style="117" customWidth="1"/>
    <col min="6145" max="6145" width="9.140625" style="117" customWidth="1"/>
    <col min="6146" max="6146" width="9.7109375" style="117" customWidth="1"/>
    <col min="6147" max="6147" width="9.140625" style="117" customWidth="1"/>
    <col min="6148" max="6394" width="9.140625" style="117"/>
    <col min="6395" max="6395" width="22.140625" style="117" customWidth="1"/>
    <col min="6396" max="6396" width="49.85546875" style="117" customWidth="1"/>
    <col min="6397" max="6397" width="15.140625" style="117" customWidth="1"/>
    <col min="6398" max="6398" width="14.140625" style="117" customWidth="1"/>
    <col min="6399" max="6399" width="12" style="117" customWidth="1"/>
    <col min="6400" max="6400" width="9.85546875" style="117" customWidth="1"/>
    <col min="6401" max="6401" width="9.140625" style="117" customWidth="1"/>
    <col min="6402" max="6402" width="9.7109375" style="117" customWidth="1"/>
    <col min="6403" max="6403" width="9.140625" style="117" customWidth="1"/>
    <col min="6404" max="6650" width="9.140625" style="117"/>
    <col min="6651" max="6651" width="22.140625" style="117" customWidth="1"/>
    <col min="6652" max="6652" width="49.85546875" style="117" customWidth="1"/>
    <col min="6653" max="6653" width="15.140625" style="117" customWidth="1"/>
    <col min="6654" max="6654" width="14.140625" style="117" customWidth="1"/>
    <col min="6655" max="6655" width="12" style="117" customWidth="1"/>
    <col min="6656" max="6656" width="9.85546875" style="117" customWidth="1"/>
    <col min="6657" max="6657" width="9.140625" style="117" customWidth="1"/>
    <col min="6658" max="6658" width="9.7109375" style="117" customWidth="1"/>
    <col min="6659" max="6659" width="9.140625" style="117" customWidth="1"/>
    <col min="6660" max="6906" width="9.140625" style="117"/>
    <col min="6907" max="6907" width="22.140625" style="117" customWidth="1"/>
    <col min="6908" max="6908" width="49.85546875" style="117" customWidth="1"/>
    <col min="6909" max="6909" width="15.140625" style="117" customWidth="1"/>
    <col min="6910" max="6910" width="14.140625" style="117" customWidth="1"/>
    <col min="6911" max="6911" width="12" style="117" customWidth="1"/>
    <col min="6912" max="6912" width="9.85546875" style="117" customWidth="1"/>
    <col min="6913" max="6913" width="9.140625" style="117" customWidth="1"/>
    <col min="6914" max="6914" width="9.7109375" style="117" customWidth="1"/>
    <col min="6915" max="6915" width="9.140625" style="117" customWidth="1"/>
    <col min="6916" max="7162" width="9.140625" style="117"/>
    <col min="7163" max="7163" width="22.140625" style="117" customWidth="1"/>
    <col min="7164" max="7164" width="49.85546875" style="117" customWidth="1"/>
    <col min="7165" max="7165" width="15.140625" style="117" customWidth="1"/>
    <col min="7166" max="7166" width="14.140625" style="117" customWidth="1"/>
    <col min="7167" max="7167" width="12" style="117" customWidth="1"/>
    <col min="7168" max="7168" width="9.85546875" style="117" customWidth="1"/>
    <col min="7169" max="7169" width="9.140625" style="117" customWidth="1"/>
    <col min="7170" max="7170" width="9.7109375" style="117" customWidth="1"/>
    <col min="7171" max="7171" width="9.140625" style="117" customWidth="1"/>
    <col min="7172" max="7418" width="9.140625" style="117"/>
    <col min="7419" max="7419" width="22.140625" style="117" customWidth="1"/>
    <col min="7420" max="7420" width="49.85546875" style="117" customWidth="1"/>
    <col min="7421" max="7421" width="15.140625" style="117" customWidth="1"/>
    <col min="7422" max="7422" width="14.140625" style="117" customWidth="1"/>
    <col min="7423" max="7423" width="12" style="117" customWidth="1"/>
    <col min="7424" max="7424" width="9.85546875" style="117" customWidth="1"/>
    <col min="7425" max="7425" width="9.140625" style="117" customWidth="1"/>
    <col min="7426" max="7426" width="9.7109375" style="117" customWidth="1"/>
    <col min="7427" max="7427" width="9.140625" style="117" customWidth="1"/>
    <col min="7428" max="7674" width="9.140625" style="117"/>
    <col min="7675" max="7675" width="22.140625" style="117" customWidth="1"/>
    <col min="7676" max="7676" width="49.85546875" style="117" customWidth="1"/>
    <col min="7677" max="7677" width="15.140625" style="117" customWidth="1"/>
    <col min="7678" max="7678" width="14.140625" style="117" customWidth="1"/>
    <col min="7679" max="7679" width="12" style="117" customWidth="1"/>
    <col min="7680" max="7680" width="9.85546875" style="117" customWidth="1"/>
    <col min="7681" max="7681" width="9.140625" style="117" customWidth="1"/>
    <col min="7682" max="7682" width="9.7109375" style="117" customWidth="1"/>
    <col min="7683" max="7683" width="9.140625" style="117" customWidth="1"/>
    <col min="7684" max="7930" width="9.140625" style="117"/>
    <col min="7931" max="7931" width="22.140625" style="117" customWidth="1"/>
    <col min="7932" max="7932" width="49.85546875" style="117" customWidth="1"/>
    <col min="7933" max="7933" width="15.140625" style="117" customWidth="1"/>
    <col min="7934" max="7934" width="14.140625" style="117" customWidth="1"/>
    <col min="7935" max="7935" width="12" style="117" customWidth="1"/>
    <col min="7936" max="7936" width="9.85546875" style="117" customWidth="1"/>
    <col min="7937" max="7937" width="9.140625" style="117" customWidth="1"/>
    <col min="7938" max="7938" width="9.7109375" style="117" customWidth="1"/>
    <col min="7939" max="7939" width="9.140625" style="117" customWidth="1"/>
    <col min="7940" max="8186" width="9.140625" style="117"/>
    <col min="8187" max="8187" width="22.140625" style="117" customWidth="1"/>
    <col min="8188" max="8188" width="49.85546875" style="117" customWidth="1"/>
    <col min="8189" max="8189" width="15.140625" style="117" customWidth="1"/>
    <col min="8190" max="8190" width="14.140625" style="117" customWidth="1"/>
    <col min="8191" max="8191" width="12" style="117" customWidth="1"/>
    <col min="8192" max="8192" width="9.85546875" style="117" customWidth="1"/>
    <col min="8193" max="8193" width="9.140625" style="117" customWidth="1"/>
    <col min="8194" max="8194" width="9.7109375" style="117" customWidth="1"/>
    <col min="8195" max="8195" width="9.140625" style="117" customWidth="1"/>
    <col min="8196" max="8442" width="9.140625" style="117"/>
    <col min="8443" max="8443" width="22.140625" style="117" customWidth="1"/>
    <col min="8444" max="8444" width="49.85546875" style="117" customWidth="1"/>
    <col min="8445" max="8445" width="15.140625" style="117" customWidth="1"/>
    <col min="8446" max="8446" width="14.140625" style="117" customWidth="1"/>
    <col min="8447" max="8447" width="12" style="117" customWidth="1"/>
    <col min="8448" max="8448" width="9.85546875" style="117" customWidth="1"/>
    <col min="8449" max="8449" width="9.140625" style="117" customWidth="1"/>
    <col min="8450" max="8450" width="9.7109375" style="117" customWidth="1"/>
    <col min="8451" max="8451" width="9.140625" style="117" customWidth="1"/>
    <col min="8452" max="8698" width="9.140625" style="117"/>
    <col min="8699" max="8699" width="22.140625" style="117" customWidth="1"/>
    <col min="8700" max="8700" width="49.85546875" style="117" customWidth="1"/>
    <col min="8701" max="8701" width="15.140625" style="117" customWidth="1"/>
    <col min="8702" max="8702" width="14.140625" style="117" customWidth="1"/>
    <col min="8703" max="8703" width="12" style="117" customWidth="1"/>
    <col min="8704" max="8704" width="9.85546875" style="117" customWidth="1"/>
    <col min="8705" max="8705" width="9.140625" style="117" customWidth="1"/>
    <col min="8706" max="8706" width="9.7109375" style="117" customWidth="1"/>
    <col min="8707" max="8707" width="9.140625" style="117" customWidth="1"/>
    <col min="8708" max="8954" width="9.140625" style="117"/>
    <col min="8955" max="8955" width="22.140625" style="117" customWidth="1"/>
    <col min="8956" max="8956" width="49.85546875" style="117" customWidth="1"/>
    <col min="8957" max="8957" width="15.140625" style="117" customWidth="1"/>
    <col min="8958" max="8958" width="14.140625" style="117" customWidth="1"/>
    <col min="8959" max="8959" width="12" style="117" customWidth="1"/>
    <col min="8960" max="8960" width="9.85546875" style="117" customWidth="1"/>
    <col min="8961" max="8961" width="9.140625" style="117" customWidth="1"/>
    <col min="8962" max="8962" width="9.7109375" style="117" customWidth="1"/>
    <col min="8963" max="8963" width="9.140625" style="117" customWidth="1"/>
    <col min="8964" max="9210" width="9.140625" style="117"/>
    <col min="9211" max="9211" width="22.140625" style="117" customWidth="1"/>
    <col min="9212" max="9212" width="49.85546875" style="117" customWidth="1"/>
    <col min="9213" max="9213" width="15.140625" style="117" customWidth="1"/>
    <col min="9214" max="9214" width="14.140625" style="117" customWidth="1"/>
    <col min="9215" max="9215" width="12" style="117" customWidth="1"/>
    <col min="9216" max="9216" width="9.85546875" style="117" customWidth="1"/>
    <col min="9217" max="9217" width="9.140625" style="117" customWidth="1"/>
    <col min="9218" max="9218" width="9.7109375" style="117" customWidth="1"/>
    <col min="9219" max="9219" width="9.140625" style="117" customWidth="1"/>
    <col min="9220" max="9466" width="9.140625" style="117"/>
    <col min="9467" max="9467" width="22.140625" style="117" customWidth="1"/>
    <col min="9468" max="9468" width="49.85546875" style="117" customWidth="1"/>
    <col min="9469" max="9469" width="15.140625" style="117" customWidth="1"/>
    <col min="9470" max="9470" width="14.140625" style="117" customWidth="1"/>
    <col min="9471" max="9471" width="12" style="117" customWidth="1"/>
    <col min="9472" max="9472" width="9.85546875" style="117" customWidth="1"/>
    <col min="9473" max="9473" width="9.140625" style="117" customWidth="1"/>
    <col min="9474" max="9474" width="9.7109375" style="117" customWidth="1"/>
    <col min="9475" max="9475" width="9.140625" style="117" customWidth="1"/>
    <col min="9476" max="9722" width="9.140625" style="117"/>
    <col min="9723" max="9723" width="22.140625" style="117" customWidth="1"/>
    <col min="9724" max="9724" width="49.85546875" style="117" customWidth="1"/>
    <col min="9725" max="9725" width="15.140625" style="117" customWidth="1"/>
    <col min="9726" max="9726" width="14.140625" style="117" customWidth="1"/>
    <col min="9727" max="9727" width="12" style="117" customWidth="1"/>
    <col min="9728" max="9728" width="9.85546875" style="117" customWidth="1"/>
    <col min="9729" max="9729" width="9.140625" style="117" customWidth="1"/>
    <col min="9730" max="9730" width="9.7109375" style="117" customWidth="1"/>
    <col min="9731" max="9731" width="9.140625" style="117" customWidth="1"/>
    <col min="9732" max="9978" width="9.140625" style="117"/>
    <col min="9979" max="9979" width="22.140625" style="117" customWidth="1"/>
    <col min="9980" max="9980" width="49.85546875" style="117" customWidth="1"/>
    <col min="9981" max="9981" width="15.140625" style="117" customWidth="1"/>
    <col min="9982" max="9982" width="14.140625" style="117" customWidth="1"/>
    <col min="9983" max="9983" width="12" style="117" customWidth="1"/>
    <col min="9984" max="9984" width="9.85546875" style="117" customWidth="1"/>
    <col min="9985" max="9985" width="9.140625" style="117" customWidth="1"/>
    <col min="9986" max="9986" width="9.7109375" style="117" customWidth="1"/>
    <col min="9987" max="9987" width="9.140625" style="117" customWidth="1"/>
    <col min="9988" max="10234" width="9.140625" style="117"/>
    <col min="10235" max="10235" width="22.140625" style="117" customWidth="1"/>
    <col min="10236" max="10236" width="49.85546875" style="117" customWidth="1"/>
    <col min="10237" max="10237" width="15.140625" style="117" customWidth="1"/>
    <col min="10238" max="10238" width="14.140625" style="117" customWidth="1"/>
    <col min="10239" max="10239" width="12" style="117" customWidth="1"/>
    <col min="10240" max="10240" width="9.85546875" style="117" customWidth="1"/>
    <col min="10241" max="10241" width="9.140625" style="117" customWidth="1"/>
    <col min="10242" max="10242" width="9.7109375" style="117" customWidth="1"/>
    <col min="10243" max="10243" width="9.140625" style="117" customWidth="1"/>
    <col min="10244" max="10490" width="9.140625" style="117"/>
    <col min="10491" max="10491" width="22.140625" style="117" customWidth="1"/>
    <col min="10492" max="10492" width="49.85546875" style="117" customWidth="1"/>
    <col min="10493" max="10493" width="15.140625" style="117" customWidth="1"/>
    <col min="10494" max="10494" width="14.140625" style="117" customWidth="1"/>
    <col min="10495" max="10495" width="12" style="117" customWidth="1"/>
    <col min="10496" max="10496" width="9.85546875" style="117" customWidth="1"/>
    <col min="10497" max="10497" width="9.140625" style="117" customWidth="1"/>
    <col min="10498" max="10498" width="9.7109375" style="117" customWidth="1"/>
    <col min="10499" max="10499" width="9.140625" style="117" customWidth="1"/>
    <col min="10500" max="10746" width="9.140625" style="117"/>
    <col min="10747" max="10747" width="22.140625" style="117" customWidth="1"/>
    <col min="10748" max="10748" width="49.85546875" style="117" customWidth="1"/>
    <col min="10749" max="10749" width="15.140625" style="117" customWidth="1"/>
    <col min="10750" max="10750" width="14.140625" style="117" customWidth="1"/>
    <col min="10751" max="10751" width="12" style="117" customWidth="1"/>
    <col min="10752" max="10752" width="9.85546875" style="117" customWidth="1"/>
    <col min="10753" max="10753" width="9.140625" style="117" customWidth="1"/>
    <col min="10754" max="10754" width="9.7109375" style="117" customWidth="1"/>
    <col min="10755" max="10755" width="9.140625" style="117" customWidth="1"/>
    <col min="10756" max="11002" width="9.140625" style="117"/>
    <col min="11003" max="11003" width="22.140625" style="117" customWidth="1"/>
    <col min="11004" max="11004" width="49.85546875" style="117" customWidth="1"/>
    <col min="11005" max="11005" width="15.140625" style="117" customWidth="1"/>
    <col min="11006" max="11006" width="14.140625" style="117" customWidth="1"/>
    <col min="11007" max="11007" width="12" style="117" customWidth="1"/>
    <col min="11008" max="11008" width="9.85546875" style="117" customWidth="1"/>
    <col min="11009" max="11009" width="9.140625" style="117" customWidth="1"/>
    <col min="11010" max="11010" width="9.7109375" style="117" customWidth="1"/>
    <col min="11011" max="11011" width="9.140625" style="117" customWidth="1"/>
    <col min="11012" max="11258" width="9.140625" style="117"/>
    <col min="11259" max="11259" width="22.140625" style="117" customWidth="1"/>
    <col min="11260" max="11260" width="49.85546875" style="117" customWidth="1"/>
    <col min="11261" max="11261" width="15.140625" style="117" customWidth="1"/>
    <col min="11262" max="11262" width="14.140625" style="117" customWidth="1"/>
    <col min="11263" max="11263" width="12" style="117" customWidth="1"/>
    <col min="11264" max="11264" width="9.85546875" style="117" customWidth="1"/>
    <col min="11265" max="11265" width="9.140625" style="117" customWidth="1"/>
    <col min="11266" max="11266" width="9.7109375" style="117" customWidth="1"/>
    <col min="11267" max="11267" width="9.140625" style="117" customWidth="1"/>
    <col min="11268" max="11514" width="9.140625" style="117"/>
    <col min="11515" max="11515" width="22.140625" style="117" customWidth="1"/>
    <col min="11516" max="11516" width="49.85546875" style="117" customWidth="1"/>
    <col min="11517" max="11517" width="15.140625" style="117" customWidth="1"/>
    <col min="11518" max="11518" width="14.140625" style="117" customWidth="1"/>
    <col min="11519" max="11519" width="12" style="117" customWidth="1"/>
    <col min="11520" max="11520" width="9.85546875" style="117" customWidth="1"/>
    <col min="11521" max="11521" width="9.140625" style="117" customWidth="1"/>
    <col min="11522" max="11522" width="9.7109375" style="117" customWidth="1"/>
    <col min="11523" max="11523" width="9.140625" style="117" customWidth="1"/>
    <col min="11524" max="11770" width="9.140625" style="117"/>
    <col min="11771" max="11771" width="22.140625" style="117" customWidth="1"/>
    <col min="11772" max="11772" width="49.85546875" style="117" customWidth="1"/>
    <col min="11773" max="11773" width="15.140625" style="117" customWidth="1"/>
    <col min="11774" max="11774" width="14.140625" style="117" customWidth="1"/>
    <col min="11775" max="11775" width="12" style="117" customWidth="1"/>
    <col min="11776" max="11776" width="9.85546875" style="117" customWidth="1"/>
    <col min="11777" max="11777" width="9.140625" style="117" customWidth="1"/>
    <col min="11778" max="11778" width="9.7109375" style="117" customWidth="1"/>
    <col min="11779" max="11779" width="9.140625" style="117" customWidth="1"/>
    <col min="11780" max="12026" width="9.140625" style="117"/>
    <col min="12027" max="12027" width="22.140625" style="117" customWidth="1"/>
    <col min="12028" max="12028" width="49.85546875" style="117" customWidth="1"/>
    <col min="12029" max="12029" width="15.140625" style="117" customWidth="1"/>
    <col min="12030" max="12030" width="14.140625" style="117" customWidth="1"/>
    <col min="12031" max="12031" width="12" style="117" customWidth="1"/>
    <col min="12032" max="12032" width="9.85546875" style="117" customWidth="1"/>
    <col min="12033" max="12033" width="9.140625" style="117" customWidth="1"/>
    <col min="12034" max="12034" width="9.7109375" style="117" customWidth="1"/>
    <col min="12035" max="12035" width="9.140625" style="117" customWidth="1"/>
    <col min="12036" max="12282" width="9.140625" style="117"/>
    <col min="12283" max="12283" width="22.140625" style="117" customWidth="1"/>
    <col min="12284" max="12284" width="49.85546875" style="117" customWidth="1"/>
    <col min="12285" max="12285" width="15.140625" style="117" customWidth="1"/>
    <col min="12286" max="12286" width="14.140625" style="117" customWidth="1"/>
    <col min="12287" max="12287" width="12" style="117" customWidth="1"/>
    <col min="12288" max="12288" width="9.85546875" style="117" customWidth="1"/>
    <col min="12289" max="12289" width="9.140625" style="117" customWidth="1"/>
    <col min="12290" max="12290" width="9.7109375" style="117" customWidth="1"/>
    <col min="12291" max="12291" width="9.140625" style="117" customWidth="1"/>
    <col min="12292" max="12538" width="9.140625" style="117"/>
    <col min="12539" max="12539" width="22.140625" style="117" customWidth="1"/>
    <col min="12540" max="12540" width="49.85546875" style="117" customWidth="1"/>
    <col min="12541" max="12541" width="15.140625" style="117" customWidth="1"/>
    <col min="12542" max="12542" width="14.140625" style="117" customWidth="1"/>
    <col min="12543" max="12543" width="12" style="117" customWidth="1"/>
    <col min="12544" max="12544" width="9.85546875" style="117" customWidth="1"/>
    <col min="12545" max="12545" width="9.140625" style="117" customWidth="1"/>
    <col min="12546" max="12546" width="9.7109375" style="117" customWidth="1"/>
    <col min="12547" max="12547" width="9.140625" style="117" customWidth="1"/>
    <col min="12548" max="12794" width="9.140625" style="117"/>
    <col min="12795" max="12795" width="22.140625" style="117" customWidth="1"/>
    <col min="12796" max="12796" width="49.85546875" style="117" customWidth="1"/>
    <col min="12797" max="12797" width="15.140625" style="117" customWidth="1"/>
    <col min="12798" max="12798" width="14.140625" style="117" customWidth="1"/>
    <col min="12799" max="12799" width="12" style="117" customWidth="1"/>
    <col min="12800" max="12800" width="9.85546875" style="117" customWidth="1"/>
    <col min="12801" max="12801" width="9.140625" style="117" customWidth="1"/>
    <col min="12802" max="12802" width="9.7109375" style="117" customWidth="1"/>
    <col min="12803" max="12803" width="9.140625" style="117" customWidth="1"/>
    <col min="12804" max="13050" width="9.140625" style="117"/>
    <col min="13051" max="13051" width="22.140625" style="117" customWidth="1"/>
    <col min="13052" max="13052" width="49.85546875" style="117" customWidth="1"/>
    <col min="13053" max="13053" width="15.140625" style="117" customWidth="1"/>
    <col min="13054" max="13054" width="14.140625" style="117" customWidth="1"/>
    <col min="13055" max="13055" width="12" style="117" customWidth="1"/>
    <col min="13056" max="13056" width="9.85546875" style="117" customWidth="1"/>
    <col min="13057" max="13057" width="9.140625" style="117" customWidth="1"/>
    <col min="13058" max="13058" width="9.7109375" style="117" customWidth="1"/>
    <col min="13059" max="13059" width="9.140625" style="117" customWidth="1"/>
    <col min="13060" max="13306" width="9.140625" style="117"/>
    <col min="13307" max="13307" width="22.140625" style="117" customWidth="1"/>
    <col min="13308" max="13308" width="49.85546875" style="117" customWidth="1"/>
    <col min="13309" max="13309" width="15.140625" style="117" customWidth="1"/>
    <col min="13310" max="13310" width="14.140625" style="117" customWidth="1"/>
    <col min="13311" max="13311" width="12" style="117" customWidth="1"/>
    <col min="13312" max="13312" width="9.85546875" style="117" customWidth="1"/>
    <col min="13313" max="13313" width="9.140625" style="117" customWidth="1"/>
    <col min="13314" max="13314" width="9.7109375" style="117" customWidth="1"/>
    <col min="13315" max="13315" width="9.140625" style="117" customWidth="1"/>
    <col min="13316" max="13562" width="9.140625" style="117"/>
    <col min="13563" max="13563" width="22.140625" style="117" customWidth="1"/>
    <col min="13564" max="13564" width="49.85546875" style="117" customWidth="1"/>
    <col min="13565" max="13565" width="15.140625" style="117" customWidth="1"/>
    <col min="13566" max="13566" width="14.140625" style="117" customWidth="1"/>
    <col min="13567" max="13567" width="12" style="117" customWidth="1"/>
    <col min="13568" max="13568" width="9.85546875" style="117" customWidth="1"/>
    <col min="13569" max="13569" width="9.140625" style="117" customWidth="1"/>
    <col min="13570" max="13570" width="9.7109375" style="117" customWidth="1"/>
    <col min="13571" max="13571" width="9.140625" style="117" customWidth="1"/>
    <col min="13572" max="13818" width="9.140625" style="117"/>
    <col min="13819" max="13819" width="22.140625" style="117" customWidth="1"/>
    <col min="13820" max="13820" width="49.85546875" style="117" customWidth="1"/>
    <col min="13821" max="13821" width="15.140625" style="117" customWidth="1"/>
    <col min="13822" max="13822" width="14.140625" style="117" customWidth="1"/>
    <col min="13823" max="13823" width="12" style="117" customWidth="1"/>
    <col min="13824" max="13824" width="9.85546875" style="117" customWidth="1"/>
    <col min="13825" max="13825" width="9.140625" style="117" customWidth="1"/>
    <col min="13826" max="13826" width="9.7109375" style="117" customWidth="1"/>
    <col min="13827" max="13827" width="9.140625" style="117" customWidth="1"/>
    <col min="13828" max="14074" width="9.140625" style="117"/>
    <col min="14075" max="14075" width="22.140625" style="117" customWidth="1"/>
    <col min="14076" max="14076" width="49.85546875" style="117" customWidth="1"/>
    <col min="14077" max="14077" width="15.140625" style="117" customWidth="1"/>
    <col min="14078" max="14078" width="14.140625" style="117" customWidth="1"/>
    <col min="14079" max="14079" width="12" style="117" customWidth="1"/>
    <col min="14080" max="14080" width="9.85546875" style="117" customWidth="1"/>
    <col min="14081" max="14081" width="9.140625" style="117" customWidth="1"/>
    <col min="14082" max="14082" width="9.7109375" style="117" customWidth="1"/>
    <col min="14083" max="14083" width="9.140625" style="117" customWidth="1"/>
    <col min="14084" max="14330" width="9.140625" style="117"/>
    <col min="14331" max="14331" width="22.140625" style="117" customWidth="1"/>
    <col min="14332" max="14332" width="49.85546875" style="117" customWidth="1"/>
    <col min="14333" max="14333" width="15.140625" style="117" customWidth="1"/>
    <col min="14334" max="14334" width="14.140625" style="117" customWidth="1"/>
    <col min="14335" max="14335" width="12" style="117" customWidth="1"/>
    <col min="14336" max="14336" width="9.85546875" style="117" customWidth="1"/>
    <col min="14337" max="14337" width="9.140625" style="117" customWidth="1"/>
    <col min="14338" max="14338" width="9.7109375" style="117" customWidth="1"/>
    <col min="14339" max="14339" width="9.140625" style="117" customWidth="1"/>
    <col min="14340" max="14586" width="9.140625" style="117"/>
    <col min="14587" max="14587" width="22.140625" style="117" customWidth="1"/>
    <col min="14588" max="14588" width="49.85546875" style="117" customWidth="1"/>
    <col min="14589" max="14589" width="15.140625" style="117" customWidth="1"/>
    <col min="14590" max="14590" width="14.140625" style="117" customWidth="1"/>
    <col min="14591" max="14591" width="12" style="117" customWidth="1"/>
    <col min="14592" max="14592" width="9.85546875" style="117" customWidth="1"/>
    <col min="14593" max="14593" width="9.140625" style="117" customWidth="1"/>
    <col min="14594" max="14594" width="9.7109375" style="117" customWidth="1"/>
    <col min="14595" max="14595" width="9.140625" style="117" customWidth="1"/>
    <col min="14596" max="14842" width="9.140625" style="117"/>
    <col min="14843" max="14843" width="22.140625" style="117" customWidth="1"/>
    <col min="14844" max="14844" width="49.85546875" style="117" customWidth="1"/>
    <col min="14845" max="14845" width="15.140625" style="117" customWidth="1"/>
    <col min="14846" max="14846" width="14.140625" style="117" customWidth="1"/>
    <col min="14847" max="14847" width="12" style="117" customWidth="1"/>
    <col min="14848" max="14848" width="9.85546875" style="117" customWidth="1"/>
    <col min="14849" max="14849" width="9.140625" style="117" customWidth="1"/>
    <col min="14850" max="14850" width="9.7109375" style="117" customWidth="1"/>
    <col min="14851" max="14851" width="9.140625" style="117" customWidth="1"/>
    <col min="14852" max="15098" width="9.140625" style="117"/>
    <col min="15099" max="15099" width="22.140625" style="117" customWidth="1"/>
    <col min="15100" max="15100" width="49.85546875" style="117" customWidth="1"/>
    <col min="15101" max="15101" width="15.140625" style="117" customWidth="1"/>
    <col min="15102" max="15102" width="14.140625" style="117" customWidth="1"/>
    <col min="15103" max="15103" width="12" style="117" customWidth="1"/>
    <col min="15104" max="15104" width="9.85546875" style="117" customWidth="1"/>
    <col min="15105" max="15105" width="9.140625" style="117" customWidth="1"/>
    <col min="15106" max="15106" width="9.7109375" style="117" customWidth="1"/>
    <col min="15107" max="15107" width="9.140625" style="117" customWidth="1"/>
    <col min="15108" max="15354" width="9.140625" style="117"/>
    <col min="15355" max="15355" width="22.140625" style="117" customWidth="1"/>
    <col min="15356" max="15356" width="49.85546875" style="117" customWidth="1"/>
    <col min="15357" max="15357" width="15.140625" style="117" customWidth="1"/>
    <col min="15358" max="15358" width="14.140625" style="117" customWidth="1"/>
    <col min="15359" max="15359" width="12" style="117" customWidth="1"/>
    <col min="15360" max="15360" width="9.85546875" style="117" customWidth="1"/>
    <col min="15361" max="15361" width="9.140625" style="117" customWidth="1"/>
    <col min="15362" max="15362" width="9.7109375" style="117" customWidth="1"/>
    <col min="15363" max="15363" width="9.140625" style="117" customWidth="1"/>
    <col min="15364" max="15610" width="9.140625" style="117"/>
    <col min="15611" max="15611" width="22.140625" style="117" customWidth="1"/>
    <col min="15612" max="15612" width="49.85546875" style="117" customWidth="1"/>
    <col min="15613" max="15613" width="15.140625" style="117" customWidth="1"/>
    <col min="15614" max="15614" width="14.140625" style="117" customWidth="1"/>
    <col min="15615" max="15615" width="12" style="117" customWidth="1"/>
    <col min="15616" max="15616" width="9.85546875" style="117" customWidth="1"/>
    <col min="15617" max="15617" width="9.140625" style="117" customWidth="1"/>
    <col min="15618" max="15618" width="9.7109375" style="117" customWidth="1"/>
    <col min="15619" max="15619" width="9.140625" style="117" customWidth="1"/>
    <col min="15620" max="15866" width="9.140625" style="117"/>
    <col min="15867" max="15867" width="22.140625" style="117" customWidth="1"/>
    <col min="15868" max="15868" width="49.85546875" style="117" customWidth="1"/>
    <col min="15869" max="15869" width="15.140625" style="117" customWidth="1"/>
    <col min="15870" max="15870" width="14.140625" style="117" customWidth="1"/>
    <col min="15871" max="15871" width="12" style="117" customWidth="1"/>
    <col min="15872" max="15872" width="9.85546875" style="117" customWidth="1"/>
    <col min="15873" max="15873" width="9.140625" style="117" customWidth="1"/>
    <col min="15874" max="15874" width="9.7109375" style="117" customWidth="1"/>
    <col min="15875" max="15875" width="9.140625" style="117" customWidth="1"/>
    <col min="15876" max="16122" width="9.140625" style="117"/>
    <col min="16123" max="16123" width="22.140625" style="117" customWidth="1"/>
    <col min="16124" max="16124" width="49.85546875" style="117" customWidth="1"/>
    <col min="16125" max="16125" width="15.140625" style="117" customWidth="1"/>
    <col min="16126" max="16126" width="14.140625" style="117" customWidth="1"/>
    <col min="16127" max="16127" width="12" style="117" customWidth="1"/>
    <col min="16128" max="16128" width="9.85546875" style="117" customWidth="1"/>
    <col min="16129" max="16129" width="9.140625" style="117" customWidth="1"/>
    <col min="16130" max="16130" width="9.7109375" style="117" customWidth="1"/>
    <col min="16131" max="16131" width="9.140625" style="117" customWidth="1"/>
    <col min="16132" max="16384" width="9.140625" style="117"/>
  </cols>
  <sheetData>
    <row r="1" spans="1:5" ht="15" customHeight="1">
      <c r="B1" s="615" t="s">
        <v>267</v>
      </c>
      <c r="C1" s="615"/>
      <c r="D1" s="615"/>
    </row>
    <row r="2" spans="1:5" ht="12.75" customHeight="1">
      <c r="B2" s="500"/>
      <c r="C2" s="609"/>
      <c r="D2" s="609"/>
    </row>
    <row r="3" spans="1:5" ht="74.25" customHeight="1">
      <c r="B3" s="500"/>
      <c r="C3" s="609" t="s">
        <v>585</v>
      </c>
      <c r="D3" s="609"/>
    </row>
    <row r="4" spans="1:5" ht="3" customHeight="1">
      <c r="B4" s="500"/>
      <c r="C4" s="500"/>
    </row>
    <row r="5" spans="1:5" hidden="1"/>
    <row r="6" spans="1:5" ht="3.75" customHeight="1"/>
    <row r="7" spans="1:5" ht="18.75">
      <c r="A7" s="614" t="s">
        <v>268</v>
      </c>
      <c r="B7" s="614"/>
    </row>
    <row r="8" spans="1:5" ht="18.75">
      <c r="A8" s="614" t="s">
        <v>269</v>
      </c>
      <c r="B8" s="614"/>
    </row>
    <row r="10" spans="1:5" ht="69" customHeight="1">
      <c r="A10" s="118" t="s">
        <v>270</v>
      </c>
      <c r="B10" s="119" t="s">
        <v>271</v>
      </c>
      <c r="C10" s="120" t="s">
        <v>528</v>
      </c>
      <c r="D10" s="120" t="s">
        <v>559</v>
      </c>
      <c r="E10" s="120" t="s">
        <v>548</v>
      </c>
    </row>
    <row r="11" spans="1:5" s="123" customFormat="1" ht="30">
      <c r="A11" s="121" t="s">
        <v>272</v>
      </c>
      <c r="B11" s="122" t="s">
        <v>273</v>
      </c>
      <c r="C11" s="523">
        <v>7842.9</v>
      </c>
      <c r="D11" s="523">
        <v>7842.9</v>
      </c>
      <c r="E11" s="374">
        <f>D11/C11</f>
        <v>1</v>
      </c>
    </row>
    <row r="12" spans="1:5" s="123" customFormat="1" ht="30">
      <c r="A12" s="121" t="s">
        <v>272</v>
      </c>
      <c r="B12" s="122" t="s">
        <v>274</v>
      </c>
      <c r="C12" s="523">
        <v>569.5</v>
      </c>
      <c r="D12" s="523">
        <v>569.5</v>
      </c>
      <c r="E12" s="374">
        <f t="shared" ref="E12:E21" si="0">D12/C12</f>
        <v>1</v>
      </c>
    </row>
    <row r="13" spans="1:5" s="123" customFormat="1" ht="60">
      <c r="A13" s="530" t="s">
        <v>275</v>
      </c>
      <c r="B13" s="122" t="s">
        <v>276</v>
      </c>
      <c r="C13" s="207">
        <v>800</v>
      </c>
      <c r="D13" s="207">
        <v>800</v>
      </c>
      <c r="E13" s="374">
        <f t="shared" ref="E13" si="1">D13/C13</f>
        <v>1</v>
      </c>
    </row>
    <row r="14" spans="1:5" s="123" customFormat="1" ht="60">
      <c r="A14" s="531" t="s">
        <v>275</v>
      </c>
      <c r="B14" s="122" t="s">
        <v>276</v>
      </c>
      <c r="C14" s="207">
        <v>949.5</v>
      </c>
      <c r="D14" s="207">
        <v>949.5</v>
      </c>
      <c r="E14" s="374">
        <f t="shared" si="0"/>
        <v>1</v>
      </c>
    </row>
    <row r="15" spans="1:5" s="123" customFormat="1" ht="24.75" customHeight="1">
      <c r="A15" s="121" t="s">
        <v>277</v>
      </c>
      <c r="B15" s="122" t="s">
        <v>278</v>
      </c>
      <c r="C15" s="205">
        <f>2090+482.34+985.6</f>
        <v>3557.94</v>
      </c>
      <c r="D15" s="205">
        <f>985.6+2712.7+482.34</f>
        <v>4180.6399999999994</v>
      </c>
      <c r="E15" s="374">
        <f t="shared" si="0"/>
        <v>1.1750170042215438</v>
      </c>
    </row>
    <row r="16" spans="1:5" s="123" customFormat="1" ht="45">
      <c r="A16" s="124" t="s">
        <v>279</v>
      </c>
      <c r="B16" s="125" t="s">
        <v>280</v>
      </c>
      <c r="C16" s="205">
        <f>297.53</f>
        <v>297.52999999999997</v>
      </c>
      <c r="D16" s="205">
        <f>297.53</f>
        <v>297.52999999999997</v>
      </c>
      <c r="E16" s="374">
        <f t="shared" si="0"/>
        <v>1</v>
      </c>
    </row>
    <row r="17" spans="1:5" s="123" customFormat="1" ht="36" customHeight="1">
      <c r="A17" s="121" t="s">
        <v>281</v>
      </c>
      <c r="B17" s="122" t="s">
        <v>282</v>
      </c>
      <c r="C17" s="370">
        <v>1</v>
      </c>
      <c r="D17" s="207">
        <v>1</v>
      </c>
      <c r="E17" s="374">
        <f t="shared" si="0"/>
        <v>1</v>
      </c>
    </row>
    <row r="18" spans="1:5" s="123" customFormat="1" ht="77.25" customHeight="1">
      <c r="A18" s="121" t="s">
        <v>283</v>
      </c>
      <c r="B18" s="122" t="s">
        <v>284</v>
      </c>
      <c r="C18" s="369">
        <v>6.5</v>
      </c>
      <c r="D18" s="495">
        <v>6.5</v>
      </c>
      <c r="E18" s="374">
        <f t="shared" si="0"/>
        <v>1</v>
      </c>
    </row>
    <row r="19" spans="1:5" s="123" customFormat="1" ht="34.5" customHeight="1">
      <c r="A19" s="121" t="s">
        <v>285</v>
      </c>
      <c r="B19" s="126" t="s">
        <v>286</v>
      </c>
      <c r="C19" s="205">
        <f>3280+45.42527+200+112+250</f>
        <v>3887.4252700000002</v>
      </c>
      <c r="D19" s="563">
        <f>2910.69672+45.42527+200+112+250</f>
        <v>3518.1219900000001</v>
      </c>
      <c r="E19" s="374">
        <f t="shared" si="0"/>
        <v>0.90500054551530962</v>
      </c>
    </row>
    <row r="20" spans="1:5" s="123" customFormat="1" ht="48" hidden="1" customHeight="1">
      <c r="A20" s="121" t="s">
        <v>287</v>
      </c>
      <c r="B20" s="126" t="s">
        <v>288</v>
      </c>
      <c r="C20" s="371"/>
      <c r="D20" s="127"/>
      <c r="E20" s="374" t="e">
        <f t="shared" si="0"/>
        <v>#DIV/0!</v>
      </c>
    </row>
    <row r="21" spans="1:5" ht="24.75" customHeight="1">
      <c r="A21" s="128"/>
      <c r="B21" s="129" t="s">
        <v>289</v>
      </c>
      <c r="C21" s="516">
        <f>SUM(C11:C19)</f>
        <v>17912.295270000002</v>
      </c>
      <c r="D21" s="516">
        <f>SUM(D11:D19)</f>
        <v>18165.691989999999</v>
      </c>
      <c r="E21" s="517">
        <f t="shared" si="0"/>
        <v>1.0141465242829262</v>
      </c>
    </row>
  </sheetData>
  <mergeCells count="5">
    <mergeCell ref="A8:B8"/>
    <mergeCell ref="A7:B7"/>
    <mergeCell ref="B1:D1"/>
    <mergeCell ref="C2:D2"/>
    <mergeCell ref="C3:D3"/>
  </mergeCells>
  <pageMargins left="0.9055118110236221" right="0.31496062992125984" top="0.33" bottom="0.34" header="0.31496062992125984" footer="0.31496062992125984"/>
  <pageSetup paperSize="9"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45"/>
  <sheetViews>
    <sheetView view="pageBreakPreview" zoomScale="70" zoomScaleNormal="100" zoomScaleSheetLayoutView="70" workbookViewId="0">
      <selection activeCell="D2" sqref="D2:G2"/>
    </sheetView>
  </sheetViews>
  <sheetFormatPr defaultRowHeight="15" outlineLevelRow="1"/>
  <cols>
    <col min="1" max="1" width="38.85546875" style="101" customWidth="1"/>
    <col min="2" max="2" width="8" style="101" customWidth="1"/>
    <col min="3" max="3" width="10.42578125" style="101" customWidth="1"/>
    <col min="4" max="4" width="14.28515625" style="101" customWidth="1"/>
    <col min="5" max="6" width="12" style="101" hidden="1" customWidth="1"/>
    <col min="7" max="7" width="15.7109375" style="116" customWidth="1" collapsed="1"/>
    <col min="8" max="8" width="9.140625" style="101" hidden="1" customWidth="1"/>
    <col min="9" max="9" width="10.42578125" customWidth="1"/>
    <col min="10" max="10" width="15.140625" bestFit="1" customWidth="1"/>
    <col min="11" max="11" width="10.7109375" bestFit="1" customWidth="1"/>
    <col min="250" max="250" width="38.85546875" customWidth="1"/>
    <col min="251" max="251" width="8" customWidth="1"/>
    <col min="252" max="252" width="10.42578125" customWidth="1"/>
    <col min="253" max="253" width="14.28515625" customWidth="1"/>
    <col min="254" max="255" width="0" hidden="1" customWidth="1"/>
    <col min="256" max="256" width="15.7109375" customWidth="1"/>
    <col min="257" max="257" width="9.140625" customWidth="1"/>
    <col min="258" max="258" width="7.140625" customWidth="1"/>
    <col min="259" max="259" width="5" customWidth="1"/>
    <col min="260" max="260" width="5.42578125" customWidth="1"/>
    <col min="261" max="261" width="7" customWidth="1"/>
    <col min="262" max="262" width="7.85546875" customWidth="1"/>
    <col min="263" max="263" width="7.42578125" customWidth="1"/>
    <col min="264" max="264" width="7" customWidth="1"/>
    <col min="506" max="506" width="38.85546875" customWidth="1"/>
    <col min="507" max="507" width="8" customWidth="1"/>
    <col min="508" max="508" width="10.42578125" customWidth="1"/>
    <col min="509" max="509" width="14.28515625" customWidth="1"/>
    <col min="510" max="511" width="0" hidden="1" customWidth="1"/>
    <col min="512" max="512" width="15.7109375" customWidth="1"/>
    <col min="513" max="513" width="9.140625" customWidth="1"/>
    <col min="514" max="514" width="7.140625" customWidth="1"/>
    <col min="515" max="515" width="5" customWidth="1"/>
    <col min="516" max="516" width="5.42578125" customWidth="1"/>
    <col min="517" max="517" width="7" customWidth="1"/>
    <col min="518" max="518" width="7.85546875" customWidth="1"/>
    <col min="519" max="519" width="7.42578125" customWidth="1"/>
    <col min="520" max="520" width="7" customWidth="1"/>
    <col min="762" max="762" width="38.85546875" customWidth="1"/>
    <col min="763" max="763" width="8" customWidth="1"/>
    <col min="764" max="764" width="10.42578125" customWidth="1"/>
    <col min="765" max="765" width="14.28515625" customWidth="1"/>
    <col min="766" max="767" width="0" hidden="1" customWidth="1"/>
    <col min="768" max="768" width="15.7109375" customWidth="1"/>
    <col min="769" max="769" width="9.140625" customWidth="1"/>
    <col min="770" max="770" width="7.140625" customWidth="1"/>
    <col min="771" max="771" width="5" customWidth="1"/>
    <col min="772" max="772" width="5.42578125" customWidth="1"/>
    <col min="773" max="773" width="7" customWidth="1"/>
    <col min="774" max="774" width="7.85546875" customWidth="1"/>
    <col min="775" max="775" width="7.42578125" customWidth="1"/>
    <col min="776" max="776" width="7" customWidth="1"/>
    <col min="1018" max="1018" width="38.85546875" customWidth="1"/>
    <col min="1019" max="1019" width="8" customWidth="1"/>
    <col min="1020" max="1020" width="10.42578125" customWidth="1"/>
    <col min="1021" max="1021" width="14.28515625" customWidth="1"/>
    <col min="1022" max="1023" width="0" hidden="1" customWidth="1"/>
    <col min="1024" max="1024" width="15.7109375" customWidth="1"/>
    <col min="1025" max="1025" width="9.140625" customWidth="1"/>
    <col min="1026" max="1026" width="7.140625" customWidth="1"/>
    <col min="1027" max="1027" width="5" customWidth="1"/>
    <col min="1028" max="1028" width="5.42578125" customWidth="1"/>
    <col min="1029" max="1029" width="7" customWidth="1"/>
    <col min="1030" max="1030" width="7.85546875" customWidth="1"/>
    <col min="1031" max="1031" width="7.42578125" customWidth="1"/>
    <col min="1032" max="1032" width="7" customWidth="1"/>
    <col min="1274" max="1274" width="38.85546875" customWidth="1"/>
    <col min="1275" max="1275" width="8" customWidth="1"/>
    <col min="1276" max="1276" width="10.42578125" customWidth="1"/>
    <col min="1277" max="1277" width="14.28515625" customWidth="1"/>
    <col min="1278" max="1279" width="0" hidden="1" customWidth="1"/>
    <col min="1280" max="1280" width="15.7109375" customWidth="1"/>
    <col min="1281" max="1281" width="9.140625" customWidth="1"/>
    <col min="1282" max="1282" width="7.140625" customWidth="1"/>
    <col min="1283" max="1283" width="5" customWidth="1"/>
    <col min="1284" max="1284" width="5.42578125" customWidth="1"/>
    <col min="1285" max="1285" width="7" customWidth="1"/>
    <col min="1286" max="1286" width="7.85546875" customWidth="1"/>
    <col min="1287" max="1287" width="7.42578125" customWidth="1"/>
    <col min="1288" max="1288" width="7" customWidth="1"/>
    <col min="1530" max="1530" width="38.85546875" customWidth="1"/>
    <col min="1531" max="1531" width="8" customWidth="1"/>
    <col min="1532" max="1532" width="10.42578125" customWidth="1"/>
    <col min="1533" max="1533" width="14.28515625" customWidth="1"/>
    <col min="1534" max="1535" width="0" hidden="1" customWidth="1"/>
    <col min="1536" max="1536" width="15.7109375" customWidth="1"/>
    <col min="1537" max="1537" width="9.140625" customWidth="1"/>
    <col min="1538" max="1538" width="7.140625" customWidth="1"/>
    <col min="1539" max="1539" width="5" customWidth="1"/>
    <col min="1540" max="1540" width="5.42578125" customWidth="1"/>
    <col min="1541" max="1541" width="7" customWidth="1"/>
    <col min="1542" max="1542" width="7.85546875" customWidth="1"/>
    <col min="1543" max="1543" width="7.42578125" customWidth="1"/>
    <col min="1544" max="1544" width="7" customWidth="1"/>
    <col min="1786" max="1786" width="38.85546875" customWidth="1"/>
    <col min="1787" max="1787" width="8" customWidth="1"/>
    <col min="1788" max="1788" width="10.42578125" customWidth="1"/>
    <col min="1789" max="1789" width="14.28515625" customWidth="1"/>
    <col min="1790" max="1791" width="0" hidden="1" customWidth="1"/>
    <col min="1792" max="1792" width="15.7109375" customWidth="1"/>
    <col min="1793" max="1793" width="9.140625" customWidth="1"/>
    <col min="1794" max="1794" width="7.140625" customWidth="1"/>
    <col min="1795" max="1795" width="5" customWidth="1"/>
    <col min="1796" max="1796" width="5.42578125" customWidth="1"/>
    <col min="1797" max="1797" width="7" customWidth="1"/>
    <col min="1798" max="1798" width="7.85546875" customWidth="1"/>
    <col min="1799" max="1799" width="7.42578125" customWidth="1"/>
    <col min="1800" max="1800" width="7" customWidth="1"/>
    <col min="2042" max="2042" width="38.85546875" customWidth="1"/>
    <col min="2043" max="2043" width="8" customWidth="1"/>
    <col min="2044" max="2044" width="10.42578125" customWidth="1"/>
    <col min="2045" max="2045" width="14.28515625" customWidth="1"/>
    <col min="2046" max="2047" width="0" hidden="1" customWidth="1"/>
    <col min="2048" max="2048" width="15.7109375" customWidth="1"/>
    <col min="2049" max="2049" width="9.140625" customWidth="1"/>
    <col min="2050" max="2050" width="7.140625" customWidth="1"/>
    <col min="2051" max="2051" width="5" customWidth="1"/>
    <col min="2052" max="2052" width="5.42578125" customWidth="1"/>
    <col min="2053" max="2053" width="7" customWidth="1"/>
    <col min="2054" max="2054" width="7.85546875" customWidth="1"/>
    <col min="2055" max="2055" width="7.42578125" customWidth="1"/>
    <col min="2056" max="2056" width="7" customWidth="1"/>
    <col min="2298" max="2298" width="38.85546875" customWidth="1"/>
    <col min="2299" max="2299" width="8" customWidth="1"/>
    <col min="2300" max="2300" width="10.42578125" customWidth="1"/>
    <col min="2301" max="2301" width="14.28515625" customWidth="1"/>
    <col min="2302" max="2303" width="0" hidden="1" customWidth="1"/>
    <col min="2304" max="2304" width="15.7109375" customWidth="1"/>
    <col min="2305" max="2305" width="9.140625" customWidth="1"/>
    <col min="2306" max="2306" width="7.140625" customWidth="1"/>
    <col min="2307" max="2307" width="5" customWidth="1"/>
    <col min="2308" max="2308" width="5.42578125" customWidth="1"/>
    <col min="2309" max="2309" width="7" customWidth="1"/>
    <col min="2310" max="2310" width="7.85546875" customWidth="1"/>
    <col min="2311" max="2311" width="7.42578125" customWidth="1"/>
    <col min="2312" max="2312" width="7" customWidth="1"/>
    <col min="2554" max="2554" width="38.85546875" customWidth="1"/>
    <col min="2555" max="2555" width="8" customWidth="1"/>
    <col min="2556" max="2556" width="10.42578125" customWidth="1"/>
    <col min="2557" max="2557" width="14.28515625" customWidth="1"/>
    <col min="2558" max="2559" width="0" hidden="1" customWidth="1"/>
    <col min="2560" max="2560" width="15.7109375" customWidth="1"/>
    <col min="2561" max="2561" width="9.140625" customWidth="1"/>
    <col min="2562" max="2562" width="7.140625" customWidth="1"/>
    <col min="2563" max="2563" width="5" customWidth="1"/>
    <col min="2564" max="2564" width="5.42578125" customWidth="1"/>
    <col min="2565" max="2565" width="7" customWidth="1"/>
    <col min="2566" max="2566" width="7.85546875" customWidth="1"/>
    <col min="2567" max="2567" width="7.42578125" customWidth="1"/>
    <col min="2568" max="2568" width="7" customWidth="1"/>
    <col min="2810" max="2810" width="38.85546875" customWidth="1"/>
    <col min="2811" max="2811" width="8" customWidth="1"/>
    <col min="2812" max="2812" width="10.42578125" customWidth="1"/>
    <col min="2813" max="2813" width="14.28515625" customWidth="1"/>
    <col min="2814" max="2815" width="0" hidden="1" customWidth="1"/>
    <col min="2816" max="2816" width="15.7109375" customWidth="1"/>
    <col min="2817" max="2817" width="9.140625" customWidth="1"/>
    <col min="2818" max="2818" width="7.140625" customWidth="1"/>
    <col min="2819" max="2819" width="5" customWidth="1"/>
    <col min="2820" max="2820" width="5.42578125" customWidth="1"/>
    <col min="2821" max="2821" width="7" customWidth="1"/>
    <col min="2822" max="2822" width="7.85546875" customWidth="1"/>
    <col min="2823" max="2823" width="7.42578125" customWidth="1"/>
    <col min="2824" max="2824" width="7" customWidth="1"/>
    <col min="3066" max="3066" width="38.85546875" customWidth="1"/>
    <col min="3067" max="3067" width="8" customWidth="1"/>
    <col min="3068" max="3068" width="10.42578125" customWidth="1"/>
    <col min="3069" max="3069" width="14.28515625" customWidth="1"/>
    <col min="3070" max="3071" width="0" hidden="1" customWidth="1"/>
    <col min="3072" max="3072" width="15.7109375" customWidth="1"/>
    <col min="3073" max="3073" width="9.140625" customWidth="1"/>
    <col min="3074" max="3074" width="7.140625" customWidth="1"/>
    <col min="3075" max="3075" width="5" customWidth="1"/>
    <col min="3076" max="3076" width="5.42578125" customWidth="1"/>
    <col min="3077" max="3077" width="7" customWidth="1"/>
    <col min="3078" max="3078" width="7.85546875" customWidth="1"/>
    <col min="3079" max="3079" width="7.42578125" customWidth="1"/>
    <col min="3080" max="3080" width="7" customWidth="1"/>
    <col min="3322" max="3322" width="38.85546875" customWidth="1"/>
    <col min="3323" max="3323" width="8" customWidth="1"/>
    <col min="3324" max="3324" width="10.42578125" customWidth="1"/>
    <col min="3325" max="3325" width="14.28515625" customWidth="1"/>
    <col min="3326" max="3327" width="0" hidden="1" customWidth="1"/>
    <col min="3328" max="3328" width="15.7109375" customWidth="1"/>
    <col min="3329" max="3329" width="9.140625" customWidth="1"/>
    <col min="3330" max="3330" width="7.140625" customWidth="1"/>
    <col min="3331" max="3331" width="5" customWidth="1"/>
    <col min="3332" max="3332" width="5.42578125" customWidth="1"/>
    <col min="3333" max="3333" width="7" customWidth="1"/>
    <col min="3334" max="3334" width="7.85546875" customWidth="1"/>
    <col min="3335" max="3335" width="7.42578125" customWidth="1"/>
    <col min="3336" max="3336" width="7" customWidth="1"/>
    <col min="3578" max="3578" width="38.85546875" customWidth="1"/>
    <col min="3579" max="3579" width="8" customWidth="1"/>
    <col min="3580" max="3580" width="10.42578125" customWidth="1"/>
    <col min="3581" max="3581" width="14.28515625" customWidth="1"/>
    <col min="3582" max="3583" width="0" hidden="1" customWidth="1"/>
    <col min="3584" max="3584" width="15.7109375" customWidth="1"/>
    <col min="3585" max="3585" width="9.140625" customWidth="1"/>
    <col min="3586" max="3586" width="7.140625" customWidth="1"/>
    <col min="3587" max="3587" width="5" customWidth="1"/>
    <col min="3588" max="3588" width="5.42578125" customWidth="1"/>
    <col min="3589" max="3589" width="7" customWidth="1"/>
    <col min="3590" max="3590" width="7.85546875" customWidth="1"/>
    <col min="3591" max="3591" width="7.42578125" customWidth="1"/>
    <col min="3592" max="3592" width="7" customWidth="1"/>
    <col min="3834" max="3834" width="38.85546875" customWidth="1"/>
    <col min="3835" max="3835" width="8" customWidth="1"/>
    <col min="3836" max="3836" width="10.42578125" customWidth="1"/>
    <col min="3837" max="3837" width="14.28515625" customWidth="1"/>
    <col min="3838" max="3839" width="0" hidden="1" customWidth="1"/>
    <col min="3840" max="3840" width="15.7109375" customWidth="1"/>
    <col min="3841" max="3841" width="9.140625" customWidth="1"/>
    <col min="3842" max="3842" width="7.140625" customWidth="1"/>
    <col min="3843" max="3843" width="5" customWidth="1"/>
    <col min="3844" max="3844" width="5.42578125" customWidth="1"/>
    <col min="3845" max="3845" width="7" customWidth="1"/>
    <col min="3846" max="3846" width="7.85546875" customWidth="1"/>
    <col min="3847" max="3847" width="7.42578125" customWidth="1"/>
    <col min="3848" max="3848" width="7" customWidth="1"/>
    <col min="4090" max="4090" width="38.85546875" customWidth="1"/>
    <col min="4091" max="4091" width="8" customWidth="1"/>
    <col min="4092" max="4092" width="10.42578125" customWidth="1"/>
    <col min="4093" max="4093" width="14.28515625" customWidth="1"/>
    <col min="4094" max="4095" width="0" hidden="1" customWidth="1"/>
    <col min="4096" max="4096" width="15.7109375" customWidth="1"/>
    <col min="4097" max="4097" width="9.140625" customWidth="1"/>
    <col min="4098" max="4098" width="7.140625" customWidth="1"/>
    <col min="4099" max="4099" width="5" customWidth="1"/>
    <col min="4100" max="4100" width="5.42578125" customWidth="1"/>
    <col min="4101" max="4101" width="7" customWidth="1"/>
    <col min="4102" max="4102" width="7.85546875" customWidth="1"/>
    <col min="4103" max="4103" width="7.42578125" customWidth="1"/>
    <col min="4104" max="4104" width="7" customWidth="1"/>
    <col min="4346" max="4346" width="38.85546875" customWidth="1"/>
    <col min="4347" max="4347" width="8" customWidth="1"/>
    <col min="4348" max="4348" width="10.42578125" customWidth="1"/>
    <col min="4349" max="4349" width="14.28515625" customWidth="1"/>
    <col min="4350" max="4351" width="0" hidden="1" customWidth="1"/>
    <col min="4352" max="4352" width="15.7109375" customWidth="1"/>
    <col min="4353" max="4353" width="9.140625" customWidth="1"/>
    <col min="4354" max="4354" width="7.140625" customWidth="1"/>
    <col min="4355" max="4355" width="5" customWidth="1"/>
    <col min="4356" max="4356" width="5.42578125" customWidth="1"/>
    <col min="4357" max="4357" width="7" customWidth="1"/>
    <col min="4358" max="4358" width="7.85546875" customWidth="1"/>
    <col min="4359" max="4359" width="7.42578125" customWidth="1"/>
    <col min="4360" max="4360" width="7" customWidth="1"/>
    <col min="4602" max="4602" width="38.85546875" customWidth="1"/>
    <col min="4603" max="4603" width="8" customWidth="1"/>
    <col min="4604" max="4604" width="10.42578125" customWidth="1"/>
    <col min="4605" max="4605" width="14.28515625" customWidth="1"/>
    <col min="4606" max="4607" width="0" hidden="1" customWidth="1"/>
    <col min="4608" max="4608" width="15.7109375" customWidth="1"/>
    <col min="4609" max="4609" width="9.140625" customWidth="1"/>
    <col min="4610" max="4610" width="7.140625" customWidth="1"/>
    <col min="4611" max="4611" width="5" customWidth="1"/>
    <col min="4612" max="4612" width="5.42578125" customWidth="1"/>
    <col min="4613" max="4613" width="7" customWidth="1"/>
    <col min="4614" max="4614" width="7.85546875" customWidth="1"/>
    <col min="4615" max="4615" width="7.42578125" customWidth="1"/>
    <col min="4616" max="4616" width="7" customWidth="1"/>
    <col min="4858" max="4858" width="38.85546875" customWidth="1"/>
    <col min="4859" max="4859" width="8" customWidth="1"/>
    <col min="4860" max="4860" width="10.42578125" customWidth="1"/>
    <col min="4861" max="4861" width="14.28515625" customWidth="1"/>
    <col min="4862" max="4863" width="0" hidden="1" customWidth="1"/>
    <col min="4864" max="4864" width="15.7109375" customWidth="1"/>
    <col min="4865" max="4865" width="9.140625" customWidth="1"/>
    <col min="4866" max="4866" width="7.140625" customWidth="1"/>
    <col min="4867" max="4867" width="5" customWidth="1"/>
    <col min="4868" max="4868" width="5.42578125" customWidth="1"/>
    <col min="4869" max="4869" width="7" customWidth="1"/>
    <col min="4870" max="4870" width="7.85546875" customWidth="1"/>
    <col min="4871" max="4871" width="7.42578125" customWidth="1"/>
    <col min="4872" max="4872" width="7" customWidth="1"/>
    <col min="5114" max="5114" width="38.85546875" customWidth="1"/>
    <col min="5115" max="5115" width="8" customWidth="1"/>
    <col min="5116" max="5116" width="10.42578125" customWidth="1"/>
    <col min="5117" max="5117" width="14.28515625" customWidth="1"/>
    <col min="5118" max="5119" width="0" hidden="1" customWidth="1"/>
    <col min="5120" max="5120" width="15.7109375" customWidth="1"/>
    <col min="5121" max="5121" width="9.140625" customWidth="1"/>
    <col min="5122" max="5122" width="7.140625" customWidth="1"/>
    <col min="5123" max="5123" width="5" customWidth="1"/>
    <col min="5124" max="5124" width="5.42578125" customWidth="1"/>
    <col min="5125" max="5125" width="7" customWidth="1"/>
    <col min="5126" max="5126" width="7.85546875" customWidth="1"/>
    <col min="5127" max="5127" width="7.42578125" customWidth="1"/>
    <col min="5128" max="5128" width="7" customWidth="1"/>
    <col min="5370" max="5370" width="38.85546875" customWidth="1"/>
    <col min="5371" max="5371" width="8" customWidth="1"/>
    <col min="5372" max="5372" width="10.42578125" customWidth="1"/>
    <col min="5373" max="5373" width="14.28515625" customWidth="1"/>
    <col min="5374" max="5375" width="0" hidden="1" customWidth="1"/>
    <col min="5376" max="5376" width="15.7109375" customWidth="1"/>
    <col min="5377" max="5377" width="9.140625" customWidth="1"/>
    <col min="5378" max="5378" width="7.140625" customWidth="1"/>
    <col min="5379" max="5379" width="5" customWidth="1"/>
    <col min="5380" max="5380" width="5.42578125" customWidth="1"/>
    <col min="5381" max="5381" width="7" customWidth="1"/>
    <col min="5382" max="5382" width="7.85546875" customWidth="1"/>
    <col min="5383" max="5383" width="7.42578125" customWidth="1"/>
    <col min="5384" max="5384" width="7" customWidth="1"/>
    <col min="5626" max="5626" width="38.85546875" customWidth="1"/>
    <col min="5627" max="5627" width="8" customWidth="1"/>
    <col min="5628" max="5628" width="10.42578125" customWidth="1"/>
    <col min="5629" max="5629" width="14.28515625" customWidth="1"/>
    <col min="5630" max="5631" width="0" hidden="1" customWidth="1"/>
    <col min="5632" max="5632" width="15.7109375" customWidth="1"/>
    <col min="5633" max="5633" width="9.140625" customWidth="1"/>
    <col min="5634" max="5634" width="7.140625" customWidth="1"/>
    <col min="5635" max="5635" width="5" customWidth="1"/>
    <col min="5636" max="5636" width="5.42578125" customWidth="1"/>
    <col min="5637" max="5637" width="7" customWidth="1"/>
    <col min="5638" max="5638" width="7.85546875" customWidth="1"/>
    <col min="5639" max="5639" width="7.42578125" customWidth="1"/>
    <col min="5640" max="5640" width="7" customWidth="1"/>
    <col min="5882" max="5882" width="38.85546875" customWidth="1"/>
    <col min="5883" max="5883" width="8" customWidth="1"/>
    <col min="5884" max="5884" width="10.42578125" customWidth="1"/>
    <col min="5885" max="5885" width="14.28515625" customWidth="1"/>
    <col min="5886" max="5887" width="0" hidden="1" customWidth="1"/>
    <col min="5888" max="5888" width="15.7109375" customWidth="1"/>
    <col min="5889" max="5889" width="9.140625" customWidth="1"/>
    <col min="5890" max="5890" width="7.140625" customWidth="1"/>
    <col min="5891" max="5891" width="5" customWidth="1"/>
    <col min="5892" max="5892" width="5.42578125" customWidth="1"/>
    <col min="5893" max="5893" width="7" customWidth="1"/>
    <col min="5894" max="5894" width="7.85546875" customWidth="1"/>
    <col min="5895" max="5895" width="7.42578125" customWidth="1"/>
    <col min="5896" max="5896" width="7" customWidth="1"/>
    <col min="6138" max="6138" width="38.85546875" customWidth="1"/>
    <col min="6139" max="6139" width="8" customWidth="1"/>
    <col min="6140" max="6140" width="10.42578125" customWidth="1"/>
    <col min="6141" max="6141" width="14.28515625" customWidth="1"/>
    <col min="6142" max="6143" width="0" hidden="1" customWidth="1"/>
    <col min="6144" max="6144" width="15.7109375" customWidth="1"/>
    <col min="6145" max="6145" width="9.140625" customWidth="1"/>
    <col min="6146" max="6146" width="7.140625" customWidth="1"/>
    <col min="6147" max="6147" width="5" customWidth="1"/>
    <col min="6148" max="6148" width="5.42578125" customWidth="1"/>
    <col min="6149" max="6149" width="7" customWidth="1"/>
    <col min="6150" max="6150" width="7.85546875" customWidth="1"/>
    <col min="6151" max="6151" width="7.42578125" customWidth="1"/>
    <col min="6152" max="6152" width="7" customWidth="1"/>
    <col min="6394" max="6394" width="38.85546875" customWidth="1"/>
    <col min="6395" max="6395" width="8" customWidth="1"/>
    <col min="6396" max="6396" width="10.42578125" customWidth="1"/>
    <col min="6397" max="6397" width="14.28515625" customWidth="1"/>
    <col min="6398" max="6399" width="0" hidden="1" customWidth="1"/>
    <col min="6400" max="6400" width="15.7109375" customWidth="1"/>
    <col min="6401" max="6401" width="9.140625" customWidth="1"/>
    <col min="6402" max="6402" width="7.140625" customWidth="1"/>
    <col min="6403" max="6403" width="5" customWidth="1"/>
    <col min="6404" max="6404" width="5.42578125" customWidth="1"/>
    <col min="6405" max="6405" width="7" customWidth="1"/>
    <col min="6406" max="6406" width="7.85546875" customWidth="1"/>
    <col min="6407" max="6407" width="7.42578125" customWidth="1"/>
    <col min="6408" max="6408" width="7" customWidth="1"/>
    <col min="6650" max="6650" width="38.85546875" customWidth="1"/>
    <col min="6651" max="6651" width="8" customWidth="1"/>
    <col min="6652" max="6652" width="10.42578125" customWidth="1"/>
    <col min="6653" max="6653" width="14.28515625" customWidth="1"/>
    <col min="6654" max="6655" width="0" hidden="1" customWidth="1"/>
    <col min="6656" max="6656" width="15.7109375" customWidth="1"/>
    <col min="6657" max="6657" width="9.140625" customWidth="1"/>
    <col min="6658" max="6658" width="7.140625" customWidth="1"/>
    <col min="6659" max="6659" width="5" customWidth="1"/>
    <col min="6660" max="6660" width="5.42578125" customWidth="1"/>
    <col min="6661" max="6661" width="7" customWidth="1"/>
    <col min="6662" max="6662" width="7.85546875" customWidth="1"/>
    <col min="6663" max="6663" width="7.42578125" customWidth="1"/>
    <col min="6664" max="6664" width="7" customWidth="1"/>
    <col min="6906" max="6906" width="38.85546875" customWidth="1"/>
    <col min="6907" max="6907" width="8" customWidth="1"/>
    <col min="6908" max="6908" width="10.42578125" customWidth="1"/>
    <col min="6909" max="6909" width="14.28515625" customWidth="1"/>
    <col min="6910" max="6911" width="0" hidden="1" customWidth="1"/>
    <col min="6912" max="6912" width="15.7109375" customWidth="1"/>
    <col min="6913" max="6913" width="9.140625" customWidth="1"/>
    <col min="6914" max="6914" width="7.140625" customWidth="1"/>
    <col min="6915" max="6915" width="5" customWidth="1"/>
    <col min="6916" max="6916" width="5.42578125" customWidth="1"/>
    <col min="6917" max="6917" width="7" customWidth="1"/>
    <col min="6918" max="6918" width="7.85546875" customWidth="1"/>
    <col min="6919" max="6919" width="7.42578125" customWidth="1"/>
    <col min="6920" max="6920" width="7" customWidth="1"/>
    <col min="7162" max="7162" width="38.85546875" customWidth="1"/>
    <col min="7163" max="7163" width="8" customWidth="1"/>
    <col min="7164" max="7164" width="10.42578125" customWidth="1"/>
    <col min="7165" max="7165" width="14.28515625" customWidth="1"/>
    <col min="7166" max="7167" width="0" hidden="1" customWidth="1"/>
    <col min="7168" max="7168" width="15.7109375" customWidth="1"/>
    <col min="7169" max="7169" width="9.140625" customWidth="1"/>
    <col min="7170" max="7170" width="7.140625" customWidth="1"/>
    <col min="7171" max="7171" width="5" customWidth="1"/>
    <col min="7172" max="7172" width="5.42578125" customWidth="1"/>
    <col min="7173" max="7173" width="7" customWidth="1"/>
    <col min="7174" max="7174" width="7.85546875" customWidth="1"/>
    <col min="7175" max="7175" width="7.42578125" customWidth="1"/>
    <col min="7176" max="7176" width="7" customWidth="1"/>
    <col min="7418" max="7418" width="38.85546875" customWidth="1"/>
    <col min="7419" max="7419" width="8" customWidth="1"/>
    <col min="7420" max="7420" width="10.42578125" customWidth="1"/>
    <col min="7421" max="7421" width="14.28515625" customWidth="1"/>
    <col min="7422" max="7423" width="0" hidden="1" customWidth="1"/>
    <col min="7424" max="7424" width="15.7109375" customWidth="1"/>
    <col min="7425" max="7425" width="9.140625" customWidth="1"/>
    <col min="7426" max="7426" width="7.140625" customWidth="1"/>
    <col min="7427" max="7427" width="5" customWidth="1"/>
    <col min="7428" max="7428" width="5.42578125" customWidth="1"/>
    <col min="7429" max="7429" width="7" customWidth="1"/>
    <col min="7430" max="7430" width="7.85546875" customWidth="1"/>
    <col min="7431" max="7431" width="7.42578125" customWidth="1"/>
    <col min="7432" max="7432" width="7" customWidth="1"/>
    <col min="7674" max="7674" width="38.85546875" customWidth="1"/>
    <col min="7675" max="7675" width="8" customWidth="1"/>
    <col min="7676" max="7676" width="10.42578125" customWidth="1"/>
    <col min="7677" max="7677" width="14.28515625" customWidth="1"/>
    <col min="7678" max="7679" width="0" hidden="1" customWidth="1"/>
    <col min="7680" max="7680" width="15.7109375" customWidth="1"/>
    <col min="7681" max="7681" width="9.140625" customWidth="1"/>
    <col min="7682" max="7682" width="7.140625" customWidth="1"/>
    <col min="7683" max="7683" width="5" customWidth="1"/>
    <col min="7684" max="7684" width="5.42578125" customWidth="1"/>
    <col min="7685" max="7685" width="7" customWidth="1"/>
    <col min="7686" max="7686" width="7.85546875" customWidth="1"/>
    <col min="7687" max="7687" width="7.42578125" customWidth="1"/>
    <col min="7688" max="7688" width="7" customWidth="1"/>
    <col min="7930" max="7930" width="38.85546875" customWidth="1"/>
    <col min="7931" max="7931" width="8" customWidth="1"/>
    <col min="7932" max="7932" width="10.42578125" customWidth="1"/>
    <col min="7933" max="7933" width="14.28515625" customWidth="1"/>
    <col min="7934" max="7935" width="0" hidden="1" customWidth="1"/>
    <col min="7936" max="7936" width="15.7109375" customWidth="1"/>
    <col min="7937" max="7937" width="9.140625" customWidth="1"/>
    <col min="7938" max="7938" width="7.140625" customWidth="1"/>
    <col min="7939" max="7939" width="5" customWidth="1"/>
    <col min="7940" max="7940" width="5.42578125" customWidth="1"/>
    <col min="7941" max="7941" width="7" customWidth="1"/>
    <col min="7942" max="7942" width="7.85546875" customWidth="1"/>
    <col min="7943" max="7943" width="7.42578125" customWidth="1"/>
    <col min="7944" max="7944" width="7" customWidth="1"/>
    <col min="8186" max="8186" width="38.85546875" customWidth="1"/>
    <col min="8187" max="8187" width="8" customWidth="1"/>
    <col min="8188" max="8188" width="10.42578125" customWidth="1"/>
    <col min="8189" max="8189" width="14.28515625" customWidth="1"/>
    <col min="8190" max="8191" width="0" hidden="1" customWidth="1"/>
    <col min="8192" max="8192" width="15.7109375" customWidth="1"/>
    <col min="8193" max="8193" width="9.140625" customWidth="1"/>
    <col min="8194" max="8194" width="7.140625" customWidth="1"/>
    <col min="8195" max="8195" width="5" customWidth="1"/>
    <col min="8196" max="8196" width="5.42578125" customWidth="1"/>
    <col min="8197" max="8197" width="7" customWidth="1"/>
    <col min="8198" max="8198" width="7.85546875" customWidth="1"/>
    <col min="8199" max="8199" width="7.42578125" customWidth="1"/>
    <col min="8200" max="8200" width="7" customWidth="1"/>
    <col min="8442" max="8442" width="38.85546875" customWidth="1"/>
    <col min="8443" max="8443" width="8" customWidth="1"/>
    <col min="8444" max="8444" width="10.42578125" customWidth="1"/>
    <col min="8445" max="8445" width="14.28515625" customWidth="1"/>
    <col min="8446" max="8447" width="0" hidden="1" customWidth="1"/>
    <col min="8448" max="8448" width="15.7109375" customWidth="1"/>
    <col min="8449" max="8449" width="9.140625" customWidth="1"/>
    <col min="8450" max="8450" width="7.140625" customWidth="1"/>
    <col min="8451" max="8451" width="5" customWidth="1"/>
    <col min="8452" max="8452" width="5.42578125" customWidth="1"/>
    <col min="8453" max="8453" width="7" customWidth="1"/>
    <col min="8454" max="8454" width="7.85546875" customWidth="1"/>
    <col min="8455" max="8455" width="7.42578125" customWidth="1"/>
    <col min="8456" max="8456" width="7" customWidth="1"/>
    <col min="8698" max="8698" width="38.85546875" customWidth="1"/>
    <col min="8699" max="8699" width="8" customWidth="1"/>
    <col min="8700" max="8700" width="10.42578125" customWidth="1"/>
    <col min="8701" max="8701" width="14.28515625" customWidth="1"/>
    <col min="8702" max="8703" width="0" hidden="1" customWidth="1"/>
    <col min="8704" max="8704" width="15.7109375" customWidth="1"/>
    <col min="8705" max="8705" width="9.140625" customWidth="1"/>
    <col min="8706" max="8706" width="7.140625" customWidth="1"/>
    <col min="8707" max="8707" width="5" customWidth="1"/>
    <col min="8708" max="8708" width="5.42578125" customWidth="1"/>
    <col min="8709" max="8709" width="7" customWidth="1"/>
    <col min="8710" max="8710" width="7.85546875" customWidth="1"/>
    <col min="8711" max="8711" width="7.42578125" customWidth="1"/>
    <col min="8712" max="8712" width="7" customWidth="1"/>
    <col min="8954" max="8954" width="38.85546875" customWidth="1"/>
    <col min="8955" max="8955" width="8" customWidth="1"/>
    <col min="8956" max="8956" width="10.42578125" customWidth="1"/>
    <col min="8957" max="8957" width="14.28515625" customWidth="1"/>
    <col min="8958" max="8959" width="0" hidden="1" customWidth="1"/>
    <col min="8960" max="8960" width="15.7109375" customWidth="1"/>
    <col min="8961" max="8961" width="9.140625" customWidth="1"/>
    <col min="8962" max="8962" width="7.140625" customWidth="1"/>
    <col min="8963" max="8963" width="5" customWidth="1"/>
    <col min="8964" max="8964" width="5.42578125" customWidth="1"/>
    <col min="8965" max="8965" width="7" customWidth="1"/>
    <col min="8966" max="8966" width="7.85546875" customWidth="1"/>
    <col min="8967" max="8967" width="7.42578125" customWidth="1"/>
    <col min="8968" max="8968" width="7" customWidth="1"/>
    <col min="9210" max="9210" width="38.85546875" customWidth="1"/>
    <col min="9211" max="9211" width="8" customWidth="1"/>
    <col min="9212" max="9212" width="10.42578125" customWidth="1"/>
    <col min="9213" max="9213" width="14.28515625" customWidth="1"/>
    <col min="9214" max="9215" width="0" hidden="1" customWidth="1"/>
    <col min="9216" max="9216" width="15.7109375" customWidth="1"/>
    <col min="9217" max="9217" width="9.140625" customWidth="1"/>
    <col min="9218" max="9218" width="7.140625" customWidth="1"/>
    <col min="9219" max="9219" width="5" customWidth="1"/>
    <col min="9220" max="9220" width="5.42578125" customWidth="1"/>
    <col min="9221" max="9221" width="7" customWidth="1"/>
    <col min="9222" max="9222" width="7.85546875" customWidth="1"/>
    <col min="9223" max="9223" width="7.42578125" customWidth="1"/>
    <col min="9224" max="9224" width="7" customWidth="1"/>
    <col min="9466" max="9466" width="38.85546875" customWidth="1"/>
    <col min="9467" max="9467" width="8" customWidth="1"/>
    <col min="9468" max="9468" width="10.42578125" customWidth="1"/>
    <col min="9469" max="9469" width="14.28515625" customWidth="1"/>
    <col min="9470" max="9471" width="0" hidden="1" customWidth="1"/>
    <col min="9472" max="9472" width="15.7109375" customWidth="1"/>
    <col min="9473" max="9473" width="9.140625" customWidth="1"/>
    <col min="9474" max="9474" width="7.140625" customWidth="1"/>
    <col min="9475" max="9475" width="5" customWidth="1"/>
    <col min="9476" max="9476" width="5.42578125" customWidth="1"/>
    <col min="9477" max="9477" width="7" customWidth="1"/>
    <col min="9478" max="9478" width="7.85546875" customWidth="1"/>
    <col min="9479" max="9479" width="7.42578125" customWidth="1"/>
    <col min="9480" max="9480" width="7" customWidth="1"/>
    <col min="9722" max="9722" width="38.85546875" customWidth="1"/>
    <col min="9723" max="9723" width="8" customWidth="1"/>
    <col min="9724" max="9724" width="10.42578125" customWidth="1"/>
    <col min="9725" max="9725" width="14.28515625" customWidth="1"/>
    <col min="9726" max="9727" width="0" hidden="1" customWidth="1"/>
    <col min="9728" max="9728" width="15.7109375" customWidth="1"/>
    <col min="9729" max="9729" width="9.140625" customWidth="1"/>
    <col min="9730" max="9730" width="7.140625" customWidth="1"/>
    <col min="9731" max="9731" width="5" customWidth="1"/>
    <col min="9732" max="9732" width="5.42578125" customWidth="1"/>
    <col min="9733" max="9733" width="7" customWidth="1"/>
    <col min="9734" max="9734" width="7.85546875" customWidth="1"/>
    <col min="9735" max="9735" width="7.42578125" customWidth="1"/>
    <col min="9736" max="9736" width="7" customWidth="1"/>
    <col min="9978" max="9978" width="38.85546875" customWidth="1"/>
    <col min="9979" max="9979" width="8" customWidth="1"/>
    <col min="9980" max="9980" width="10.42578125" customWidth="1"/>
    <col min="9981" max="9981" width="14.28515625" customWidth="1"/>
    <col min="9982" max="9983" width="0" hidden="1" customWidth="1"/>
    <col min="9984" max="9984" width="15.7109375" customWidth="1"/>
    <col min="9985" max="9985" width="9.140625" customWidth="1"/>
    <col min="9986" max="9986" width="7.140625" customWidth="1"/>
    <col min="9987" max="9987" width="5" customWidth="1"/>
    <col min="9988" max="9988" width="5.42578125" customWidth="1"/>
    <col min="9989" max="9989" width="7" customWidth="1"/>
    <col min="9990" max="9990" width="7.85546875" customWidth="1"/>
    <col min="9991" max="9991" width="7.42578125" customWidth="1"/>
    <col min="9992" max="9992" width="7" customWidth="1"/>
    <col min="10234" max="10234" width="38.85546875" customWidth="1"/>
    <col min="10235" max="10235" width="8" customWidth="1"/>
    <col min="10236" max="10236" width="10.42578125" customWidth="1"/>
    <col min="10237" max="10237" width="14.28515625" customWidth="1"/>
    <col min="10238" max="10239" width="0" hidden="1" customWidth="1"/>
    <col min="10240" max="10240" width="15.7109375" customWidth="1"/>
    <col min="10241" max="10241" width="9.140625" customWidth="1"/>
    <col min="10242" max="10242" width="7.140625" customWidth="1"/>
    <col min="10243" max="10243" width="5" customWidth="1"/>
    <col min="10244" max="10244" width="5.42578125" customWidth="1"/>
    <col min="10245" max="10245" width="7" customWidth="1"/>
    <col min="10246" max="10246" width="7.85546875" customWidth="1"/>
    <col min="10247" max="10247" width="7.42578125" customWidth="1"/>
    <col min="10248" max="10248" width="7" customWidth="1"/>
    <col min="10490" max="10490" width="38.85546875" customWidth="1"/>
    <col min="10491" max="10491" width="8" customWidth="1"/>
    <col min="10492" max="10492" width="10.42578125" customWidth="1"/>
    <col min="10493" max="10493" width="14.28515625" customWidth="1"/>
    <col min="10494" max="10495" width="0" hidden="1" customWidth="1"/>
    <col min="10496" max="10496" width="15.7109375" customWidth="1"/>
    <col min="10497" max="10497" width="9.140625" customWidth="1"/>
    <col min="10498" max="10498" width="7.140625" customWidth="1"/>
    <col min="10499" max="10499" width="5" customWidth="1"/>
    <col min="10500" max="10500" width="5.42578125" customWidth="1"/>
    <col min="10501" max="10501" width="7" customWidth="1"/>
    <col min="10502" max="10502" width="7.85546875" customWidth="1"/>
    <col min="10503" max="10503" width="7.42578125" customWidth="1"/>
    <col min="10504" max="10504" width="7" customWidth="1"/>
    <col min="10746" max="10746" width="38.85546875" customWidth="1"/>
    <col min="10747" max="10747" width="8" customWidth="1"/>
    <col min="10748" max="10748" width="10.42578125" customWidth="1"/>
    <col min="10749" max="10749" width="14.28515625" customWidth="1"/>
    <col min="10750" max="10751" width="0" hidden="1" customWidth="1"/>
    <col min="10752" max="10752" width="15.7109375" customWidth="1"/>
    <col min="10753" max="10753" width="9.140625" customWidth="1"/>
    <col min="10754" max="10754" width="7.140625" customWidth="1"/>
    <col min="10755" max="10755" width="5" customWidth="1"/>
    <col min="10756" max="10756" width="5.42578125" customWidth="1"/>
    <col min="10757" max="10757" width="7" customWidth="1"/>
    <col min="10758" max="10758" width="7.85546875" customWidth="1"/>
    <col min="10759" max="10759" width="7.42578125" customWidth="1"/>
    <col min="10760" max="10760" width="7" customWidth="1"/>
    <col min="11002" max="11002" width="38.85546875" customWidth="1"/>
    <col min="11003" max="11003" width="8" customWidth="1"/>
    <col min="11004" max="11004" width="10.42578125" customWidth="1"/>
    <col min="11005" max="11005" width="14.28515625" customWidth="1"/>
    <col min="11006" max="11007" width="0" hidden="1" customWidth="1"/>
    <col min="11008" max="11008" width="15.7109375" customWidth="1"/>
    <col min="11009" max="11009" width="9.140625" customWidth="1"/>
    <col min="11010" max="11010" width="7.140625" customWidth="1"/>
    <col min="11011" max="11011" width="5" customWidth="1"/>
    <col min="11012" max="11012" width="5.42578125" customWidth="1"/>
    <col min="11013" max="11013" width="7" customWidth="1"/>
    <col min="11014" max="11014" width="7.85546875" customWidth="1"/>
    <col min="11015" max="11015" width="7.42578125" customWidth="1"/>
    <col min="11016" max="11016" width="7" customWidth="1"/>
    <col min="11258" max="11258" width="38.85546875" customWidth="1"/>
    <col min="11259" max="11259" width="8" customWidth="1"/>
    <col min="11260" max="11260" width="10.42578125" customWidth="1"/>
    <col min="11261" max="11261" width="14.28515625" customWidth="1"/>
    <col min="11262" max="11263" width="0" hidden="1" customWidth="1"/>
    <col min="11264" max="11264" width="15.7109375" customWidth="1"/>
    <col min="11265" max="11265" width="9.140625" customWidth="1"/>
    <col min="11266" max="11266" width="7.140625" customWidth="1"/>
    <col min="11267" max="11267" width="5" customWidth="1"/>
    <col min="11268" max="11268" width="5.42578125" customWidth="1"/>
    <col min="11269" max="11269" width="7" customWidth="1"/>
    <col min="11270" max="11270" width="7.85546875" customWidth="1"/>
    <col min="11271" max="11271" width="7.42578125" customWidth="1"/>
    <col min="11272" max="11272" width="7" customWidth="1"/>
    <col min="11514" max="11514" width="38.85546875" customWidth="1"/>
    <col min="11515" max="11515" width="8" customWidth="1"/>
    <col min="11516" max="11516" width="10.42578125" customWidth="1"/>
    <col min="11517" max="11517" width="14.28515625" customWidth="1"/>
    <col min="11518" max="11519" width="0" hidden="1" customWidth="1"/>
    <col min="11520" max="11520" width="15.7109375" customWidth="1"/>
    <col min="11521" max="11521" width="9.140625" customWidth="1"/>
    <col min="11522" max="11522" width="7.140625" customWidth="1"/>
    <col min="11523" max="11523" width="5" customWidth="1"/>
    <col min="11524" max="11524" width="5.42578125" customWidth="1"/>
    <col min="11525" max="11525" width="7" customWidth="1"/>
    <col min="11526" max="11526" width="7.85546875" customWidth="1"/>
    <col min="11527" max="11527" width="7.42578125" customWidth="1"/>
    <col min="11528" max="11528" width="7" customWidth="1"/>
    <col min="11770" max="11770" width="38.85546875" customWidth="1"/>
    <col min="11771" max="11771" width="8" customWidth="1"/>
    <col min="11772" max="11772" width="10.42578125" customWidth="1"/>
    <col min="11773" max="11773" width="14.28515625" customWidth="1"/>
    <col min="11774" max="11775" width="0" hidden="1" customWidth="1"/>
    <col min="11776" max="11776" width="15.7109375" customWidth="1"/>
    <col min="11777" max="11777" width="9.140625" customWidth="1"/>
    <col min="11778" max="11778" width="7.140625" customWidth="1"/>
    <col min="11779" max="11779" width="5" customWidth="1"/>
    <col min="11780" max="11780" width="5.42578125" customWidth="1"/>
    <col min="11781" max="11781" width="7" customWidth="1"/>
    <col min="11782" max="11782" width="7.85546875" customWidth="1"/>
    <col min="11783" max="11783" width="7.42578125" customWidth="1"/>
    <col min="11784" max="11784" width="7" customWidth="1"/>
    <col min="12026" max="12026" width="38.85546875" customWidth="1"/>
    <col min="12027" max="12027" width="8" customWidth="1"/>
    <col min="12028" max="12028" width="10.42578125" customWidth="1"/>
    <col min="12029" max="12029" width="14.28515625" customWidth="1"/>
    <col min="12030" max="12031" width="0" hidden="1" customWidth="1"/>
    <col min="12032" max="12032" width="15.7109375" customWidth="1"/>
    <col min="12033" max="12033" width="9.140625" customWidth="1"/>
    <col min="12034" max="12034" width="7.140625" customWidth="1"/>
    <col min="12035" max="12035" width="5" customWidth="1"/>
    <col min="12036" max="12036" width="5.42578125" customWidth="1"/>
    <col min="12037" max="12037" width="7" customWidth="1"/>
    <col min="12038" max="12038" width="7.85546875" customWidth="1"/>
    <col min="12039" max="12039" width="7.42578125" customWidth="1"/>
    <col min="12040" max="12040" width="7" customWidth="1"/>
    <col min="12282" max="12282" width="38.85546875" customWidth="1"/>
    <col min="12283" max="12283" width="8" customWidth="1"/>
    <col min="12284" max="12284" width="10.42578125" customWidth="1"/>
    <col min="12285" max="12285" width="14.28515625" customWidth="1"/>
    <col min="12286" max="12287" width="0" hidden="1" customWidth="1"/>
    <col min="12288" max="12288" width="15.7109375" customWidth="1"/>
    <col min="12289" max="12289" width="9.140625" customWidth="1"/>
    <col min="12290" max="12290" width="7.140625" customWidth="1"/>
    <col min="12291" max="12291" width="5" customWidth="1"/>
    <col min="12292" max="12292" width="5.42578125" customWidth="1"/>
    <col min="12293" max="12293" width="7" customWidth="1"/>
    <col min="12294" max="12294" width="7.85546875" customWidth="1"/>
    <col min="12295" max="12295" width="7.42578125" customWidth="1"/>
    <col min="12296" max="12296" width="7" customWidth="1"/>
    <col min="12538" max="12538" width="38.85546875" customWidth="1"/>
    <col min="12539" max="12539" width="8" customWidth="1"/>
    <col min="12540" max="12540" width="10.42578125" customWidth="1"/>
    <col min="12541" max="12541" width="14.28515625" customWidth="1"/>
    <col min="12542" max="12543" width="0" hidden="1" customWidth="1"/>
    <col min="12544" max="12544" width="15.7109375" customWidth="1"/>
    <col min="12545" max="12545" width="9.140625" customWidth="1"/>
    <col min="12546" max="12546" width="7.140625" customWidth="1"/>
    <col min="12547" max="12547" width="5" customWidth="1"/>
    <col min="12548" max="12548" width="5.42578125" customWidth="1"/>
    <col min="12549" max="12549" width="7" customWidth="1"/>
    <col min="12550" max="12550" width="7.85546875" customWidth="1"/>
    <col min="12551" max="12551" width="7.42578125" customWidth="1"/>
    <col min="12552" max="12552" width="7" customWidth="1"/>
    <col min="12794" max="12794" width="38.85546875" customWidth="1"/>
    <col min="12795" max="12795" width="8" customWidth="1"/>
    <col min="12796" max="12796" width="10.42578125" customWidth="1"/>
    <col min="12797" max="12797" width="14.28515625" customWidth="1"/>
    <col min="12798" max="12799" width="0" hidden="1" customWidth="1"/>
    <col min="12800" max="12800" width="15.7109375" customWidth="1"/>
    <col min="12801" max="12801" width="9.140625" customWidth="1"/>
    <col min="12802" max="12802" width="7.140625" customWidth="1"/>
    <col min="12803" max="12803" width="5" customWidth="1"/>
    <col min="12804" max="12804" width="5.42578125" customWidth="1"/>
    <col min="12805" max="12805" width="7" customWidth="1"/>
    <col min="12806" max="12806" width="7.85546875" customWidth="1"/>
    <col min="12807" max="12807" width="7.42578125" customWidth="1"/>
    <col min="12808" max="12808" width="7" customWidth="1"/>
    <col min="13050" max="13050" width="38.85546875" customWidth="1"/>
    <col min="13051" max="13051" width="8" customWidth="1"/>
    <col min="13052" max="13052" width="10.42578125" customWidth="1"/>
    <col min="13053" max="13053" width="14.28515625" customWidth="1"/>
    <col min="13054" max="13055" width="0" hidden="1" customWidth="1"/>
    <col min="13056" max="13056" width="15.7109375" customWidth="1"/>
    <col min="13057" max="13057" width="9.140625" customWidth="1"/>
    <col min="13058" max="13058" width="7.140625" customWidth="1"/>
    <col min="13059" max="13059" width="5" customWidth="1"/>
    <col min="13060" max="13060" width="5.42578125" customWidth="1"/>
    <col min="13061" max="13061" width="7" customWidth="1"/>
    <col min="13062" max="13062" width="7.85546875" customWidth="1"/>
    <col min="13063" max="13063" width="7.42578125" customWidth="1"/>
    <col min="13064" max="13064" width="7" customWidth="1"/>
    <col min="13306" max="13306" width="38.85546875" customWidth="1"/>
    <col min="13307" max="13307" width="8" customWidth="1"/>
    <col min="13308" max="13308" width="10.42578125" customWidth="1"/>
    <col min="13309" max="13309" width="14.28515625" customWidth="1"/>
    <col min="13310" max="13311" width="0" hidden="1" customWidth="1"/>
    <col min="13312" max="13312" width="15.7109375" customWidth="1"/>
    <col min="13313" max="13313" width="9.140625" customWidth="1"/>
    <col min="13314" max="13314" width="7.140625" customWidth="1"/>
    <col min="13315" max="13315" width="5" customWidth="1"/>
    <col min="13316" max="13316" width="5.42578125" customWidth="1"/>
    <col min="13317" max="13317" width="7" customWidth="1"/>
    <col min="13318" max="13318" width="7.85546875" customWidth="1"/>
    <col min="13319" max="13319" width="7.42578125" customWidth="1"/>
    <col min="13320" max="13320" width="7" customWidth="1"/>
    <col min="13562" max="13562" width="38.85546875" customWidth="1"/>
    <col min="13563" max="13563" width="8" customWidth="1"/>
    <col min="13564" max="13564" width="10.42578125" customWidth="1"/>
    <col min="13565" max="13565" width="14.28515625" customWidth="1"/>
    <col min="13566" max="13567" width="0" hidden="1" customWidth="1"/>
    <col min="13568" max="13568" width="15.7109375" customWidth="1"/>
    <col min="13569" max="13569" width="9.140625" customWidth="1"/>
    <col min="13570" max="13570" width="7.140625" customWidth="1"/>
    <col min="13571" max="13571" width="5" customWidth="1"/>
    <col min="13572" max="13572" width="5.42578125" customWidth="1"/>
    <col min="13573" max="13573" width="7" customWidth="1"/>
    <col min="13574" max="13574" width="7.85546875" customWidth="1"/>
    <col min="13575" max="13575" width="7.42578125" customWidth="1"/>
    <col min="13576" max="13576" width="7" customWidth="1"/>
    <col min="13818" max="13818" width="38.85546875" customWidth="1"/>
    <col min="13819" max="13819" width="8" customWidth="1"/>
    <col min="13820" max="13820" width="10.42578125" customWidth="1"/>
    <col min="13821" max="13821" width="14.28515625" customWidth="1"/>
    <col min="13822" max="13823" width="0" hidden="1" customWidth="1"/>
    <col min="13824" max="13824" width="15.7109375" customWidth="1"/>
    <col min="13825" max="13825" width="9.140625" customWidth="1"/>
    <col min="13826" max="13826" width="7.140625" customWidth="1"/>
    <col min="13827" max="13827" width="5" customWidth="1"/>
    <col min="13828" max="13828" width="5.42578125" customWidth="1"/>
    <col min="13829" max="13829" width="7" customWidth="1"/>
    <col min="13830" max="13830" width="7.85546875" customWidth="1"/>
    <col min="13831" max="13831" width="7.42578125" customWidth="1"/>
    <col min="13832" max="13832" width="7" customWidth="1"/>
    <col min="14074" max="14074" width="38.85546875" customWidth="1"/>
    <col min="14075" max="14075" width="8" customWidth="1"/>
    <col min="14076" max="14076" width="10.42578125" customWidth="1"/>
    <col min="14077" max="14077" width="14.28515625" customWidth="1"/>
    <col min="14078" max="14079" width="0" hidden="1" customWidth="1"/>
    <col min="14080" max="14080" width="15.7109375" customWidth="1"/>
    <col min="14081" max="14081" width="9.140625" customWidth="1"/>
    <col min="14082" max="14082" width="7.140625" customWidth="1"/>
    <col min="14083" max="14083" width="5" customWidth="1"/>
    <col min="14084" max="14084" width="5.42578125" customWidth="1"/>
    <col min="14085" max="14085" width="7" customWidth="1"/>
    <col min="14086" max="14086" width="7.85546875" customWidth="1"/>
    <col min="14087" max="14087" width="7.42578125" customWidth="1"/>
    <col min="14088" max="14088" width="7" customWidth="1"/>
    <col min="14330" max="14330" width="38.85546875" customWidth="1"/>
    <col min="14331" max="14331" width="8" customWidth="1"/>
    <col min="14332" max="14332" width="10.42578125" customWidth="1"/>
    <col min="14333" max="14333" width="14.28515625" customWidth="1"/>
    <col min="14334" max="14335" width="0" hidden="1" customWidth="1"/>
    <col min="14336" max="14336" width="15.7109375" customWidth="1"/>
    <col min="14337" max="14337" width="9.140625" customWidth="1"/>
    <col min="14338" max="14338" width="7.140625" customWidth="1"/>
    <col min="14339" max="14339" width="5" customWidth="1"/>
    <col min="14340" max="14340" width="5.42578125" customWidth="1"/>
    <col min="14341" max="14341" width="7" customWidth="1"/>
    <col min="14342" max="14342" width="7.85546875" customWidth="1"/>
    <col min="14343" max="14343" width="7.42578125" customWidth="1"/>
    <col min="14344" max="14344" width="7" customWidth="1"/>
    <col min="14586" max="14586" width="38.85546875" customWidth="1"/>
    <col min="14587" max="14587" width="8" customWidth="1"/>
    <col min="14588" max="14588" width="10.42578125" customWidth="1"/>
    <col min="14589" max="14589" width="14.28515625" customWidth="1"/>
    <col min="14590" max="14591" width="0" hidden="1" customWidth="1"/>
    <col min="14592" max="14592" width="15.7109375" customWidth="1"/>
    <col min="14593" max="14593" width="9.140625" customWidth="1"/>
    <col min="14594" max="14594" width="7.140625" customWidth="1"/>
    <col min="14595" max="14595" width="5" customWidth="1"/>
    <col min="14596" max="14596" width="5.42578125" customWidth="1"/>
    <col min="14597" max="14597" width="7" customWidth="1"/>
    <col min="14598" max="14598" width="7.85546875" customWidth="1"/>
    <col min="14599" max="14599" width="7.42578125" customWidth="1"/>
    <col min="14600" max="14600" width="7" customWidth="1"/>
    <col min="14842" max="14842" width="38.85546875" customWidth="1"/>
    <col min="14843" max="14843" width="8" customWidth="1"/>
    <col min="14844" max="14844" width="10.42578125" customWidth="1"/>
    <col min="14845" max="14845" width="14.28515625" customWidth="1"/>
    <col min="14846" max="14847" width="0" hidden="1" customWidth="1"/>
    <col min="14848" max="14848" width="15.7109375" customWidth="1"/>
    <col min="14849" max="14849" width="9.140625" customWidth="1"/>
    <col min="14850" max="14850" width="7.140625" customWidth="1"/>
    <col min="14851" max="14851" width="5" customWidth="1"/>
    <col min="14852" max="14852" width="5.42578125" customWidth="1"/>
    <col min="14853" max="14853" width="7" customWidth="1"/>
    <col min="14854" max="14854" width="7.85546875" customWidth="1"/>
    <col min="14855" max="14855" width="7.42578125" customWidth="1"/>
    <col min="14856" max="14856" width="7" customWidth="1"/>
    <col min="15098" max="15098" width="38.85546875" customWidth="1"/>
    <col min="15099" max="15099" width="8" customWidth="1"/>
    <col min="15100" max="15100" width="10.42578125" customWidth="1"/>
    <col min="15101" max="15101" width="14.28515625" customWidth="1"/>
    <col min="15102" max="15103" width="0" hidden="1" customWidth="1"/>
    <col min="15104" max="15104" width="15.7109375" customWidth="1"/>
    <col min="15105" max="15105" width="9.140625" customWidth="1"/>
    <col min="15106" max="15106" width="7.140625" customWidth="1"/>
    <col min="15107" max="15107" width="5" customWidth="1"/>
    <col min="15108" max="15108" width="5.42578125" customWidth="1"/>
    <col min="15109" max="15109" width="7" customWidth="1"/>
    <col min="15110" max="15110" width="7.85546875" customWidth="1"/>
    <col min="15111" max="15111" width="7.42578125" customWidth="1"/>
    <col min="15112" max="15112" width="7" customWidth="1"/>
    <col min="15354" max="15354" width="38.85546875" customWidth="1"/>
    <col min="15355" max="15355" width="8" customWidth="1"/>
    <col min="15356" max="15356" width="10.42578125" customWidth="1"/>
    <col min="15357" max="15357" width="14.28515625" customWidth="1"/>
    <col min="15358" max="15359" width="0" hidden="1" customWidth="1"/>
    <col min="15360" max="15360" width="15.7109375" customWidth="1"/>
    <col min="15361" max="15361" width="9.140625" customWidth="1"/>
    <col min="15362" max="15362" width="7.140625" customWidth="1"/>
    <col min="15363" max="15363" width="5" customWidth="1"/>
    <col min="15364" max="15364" width="5.42578125" customWidth="1"/>
    <col min="15365" max="15365" width="7" customWidth="1"/>
    <col min="15366" max="15366" width="7.85546875" customWidth="1"/>
    <col min="15367" max="15367" width="7.42578125" customWidth="1"/>
    <col min="15368" max="15368" width="7" customWidth="1"/>
    <col min="15610" max="15610" width="38.85546875" customWidth="1"/>
    <col min="15611" max="15611" width="8" customWidth="1"/>
    <col min="15612" max="15612" width="10.42578125" customWidth="1"/>
    <col min="15613" max="15613" width="14.28515625" customWidth="1"/>
    <col min="15614" max="15615" width="0" hidden="1" customWidth="1"/>
    <col min="15616" max="15616" width="15.7109375" customWidth="1"/>
    <col min="15617" max="15617" width="9.140625" customWidth="1"/>
    <col min="15618" max="15618" width="7.140625" customWidth="1"/>
    <col min="15619" max="15619" width="5" customWidth="1"/>
    <col min="15620" max="15620" width="5.42578125" customWidth="1"/>
    <col min="15621" max="15621" width="7" customWidth="1"/>
    <col min="15622" max="15622" width="7.85546875" customWidth="1"/>
    <col min="15623" max="15623" width="7.42578125" customWidth="1"/>
    <col min="15624" max="15624" width="7" customWidth="1"/>
    <col min="15866" max="15866" width="38.85546875" customWidth="1"/>
    <col min="15867" max="15867" width="8" customWidth="1"/>
    <col min="15868" max="15868" width="10.42578125" customWidth="1"/>
    <col min="15869" max="15869" width="14.28515625" customWidth="1"/>
    <col min="15870" max="15871" width="0" hidden="1" customWidth="1"/>
    <col min="15872" max="15872" width="15.7109375" customWidth="1"/>
    <col min="15873" max="15873" width="9.140625" customWidth="1"/>
    <col min="15874" max="15874" width="7.140625" customWidth="1"/>
    <col min="15875" max="15875" width="5" customWidth="1"/>
    <col min="15876" max="15876" width="5.42578125" customWidth="1"/>
    <col min="15877" max="15877" width="7" customWidth="1"/>
    <col min="15878" max="15878" width="7.85546875" customWidth="1"/>
    <col min="15879" max="15879" width="7.42578125" customWidth="1"/>
    <col min="15880" max="15880" width="7" customWidth="1"/>
    <col min="16122" max="16122" width="38.85546875" customWidth="1"/>
    <col min="16123" max="16123" width="8" customWidth="1"/>
    <col min="16124" max="16124" width="10.42578125" customWidth="1"/>
    <col min="16125" max="16125" width="14.28515625" customWidth="1"/>
    <col min="16126" max="16127" width="0" hidden="1" customWidth="1"/>
    <col min="16128" max="16128" width="15.7109375" customWidth="1"/>
    <col min="16129" max="16129" width="9.140625" customWidth="1"/>
    <col min="16130" max="16130" width="7.140625" customWidth="1"/>
    <col min="16131" max="16131" width="5" customWidth="1"/>
    <col min="16132" max="16132" width="5.42578125" customWidth="1"/>
    <col min="16133" max="16133" width="7" customWidth="1"/>
    <col min="16134" max="16134" width="7.85546875" customWidth="1"/>
    <col min="16135" max="16135" width="7.42578125" customWidth="1"/>
    <col min="16136" max="16136" width="7" customWidth="1"/>
  </cols>
  <sheetData>
    <row r="1" spans="1:11" ht="26.25" customHeight="1">
      <c r="A1" s="100"/>
      <c r="C1" s="102"/>
      <c r="D1" s="617" t="s">
        <v>527</v>
      </c>
      <c r="E1" s="617"/>
      <c r="F1" s="617"/>
      <c r="G1" s="617"/>
    </row>
    <row r="2" spans="1:11" ht="114.75" customHeight="1">
      <c r="A2" s="100"/>
      <c r="C2" s="501"/>
      <c r="D2" s="609" t="s">
        <v>585</v>
      </c>
      <c r="E2" s="609"/>
      <c r="F2" s="609"/>
      <c r="G2" s="609"/>
    </row>
    <row r="3" spans="1:11" ht="11.25" customHeight="1">
      <c r="A3" s="100"/>
      <c r="C3" s="618"/>
      <c r="D3" s="618"/>
      <c r="E3" s="618"/>
      <c r="F3" s="618"/>
      <c r="G3" s="618"/>
    </row>
    <row r="4" spans="1:11" ht="17.25" hidden="1" customHeight="1">
      <c r="A4" s="100"/>
      <c r="C4" s="103"/>
      <c r="D4" s="618"/>
      <c r="E4" s="618"/>
      <c r="F4" s="618"/>
      <c r="G4" s="618"/>
    </row>
    <row r="5" spans="1:11" ht="56.25" customHeight="1">
      <c r="A5" s="620" t="s">
        <v>560</v>
      </c>
      <c r="B5" s="620"/>
      <c r="C5" s="620"/>
      <c r="D5" s="620"/>
      <c r="E5" s="620"/>
      <c r="F5" s="620"/>
      <c r="G5" s="620"/>
    </row>
    <row r="6" spans="1:11" ht="12.75" customHeight="1">
      <c r="A6" s="621" t="s">
        <v>225</v>
      </c>
      <c r="B6" s="621" t="s">
        <v>226</v>
      </c>
      <c r="C6" s="621" t="s">
        <v>227</v>
      </c>
      <c r="D6" s="619" t="s">
        <v>529</v>
      </c>
      <c r="E6" s="619" t="s">
        <v>228</v>
      </c>
      <c r="F6" s="619" t="s">
        <v>229</v>
      </c>
      <c r="G6" s="616" t="s">
        <v>559</v>
      </c>
      <c r="H6" s="616" t="s">
        <v>547</v>
      </c>
      <c r="I6" s="616" t="s">
        <v>549</v>
      </c>
    </row>
    <row r="7" spans="1:11">
      <c r="A7" s="621"/>
      <c r="B7" s="621"/>
      <c r="C7" s="621"/>
      <c r="D7" s="619"/>
      <c r="E7" s="619"/>
      <c r="F7" s="619"/>
      <c r="G7" s="616"/>
      <c r="H7" s="616"/>
      <c r="I7" s="616"/>
    </row>
    <row r="8" spans="1:11" ht="56.25" customHeight="1">
      <c r="A8" s="621"/>
      <c r="B8" s="621"/>
      <c r="C8" s="621"/>
      <c r="D8" s="619"/>
      <c r="E8" s="619"/>
      <c r="F8" s="619"/>
      <c r="G8" s="616"/>
      <c r="H8" s="616"/>
      <c r="I8" s="616"/>
      <c r="J8" s="438"/>
      <c r="K8" s="438"/>
    </row>
    <row r="9" spans="1:11">
      <c r="A9" s="104" t="s">
        <v>231</v>
      </c>
      <c r="B9" s="105" t="s">
        <v>232</v>
      </c>
      <c r="C9" s="105"/>
      <c r="D9" s="436">
        <f>SUM(D10:D15)</f>
        <v>12741.36</v>
      </c>
      <c r="E9" s="107" t="e">
        <f>SUM(E10:E15)</f>
        <v>#REF!</v>
      </c>
      <c r="F9" s="107">
        <f>SUM(F10:F15)</f>
        <v>12331.329999999998</v>
      </c>
      <c r="G9" s="216">
        <f>SUM(G10:G15)</f>
        <v>11975.021940000001</v>
      </c>
      <c r="H9" s="106">
        <f t="shared" ref="H9" si="0">SUM(H10:H15)</f>
        <v>0</v>
      </c>
      <c r="I9" s="378">
        <f>G9/D9</f>
        <v>0.93985429655860908</v>
      </c>
    </row>
    <row r="10" spans="1:11" ht="30">
      <c r="A10" s="108" t="s">
        <v>233</v>
      </c>
      <c r="B10" s="109"/>
      <c r="C10" s="109" t="s">
        <v>136</v>
      </c>
      <c r="D10" s="564">
        <v>110</v>
      </c>
      <c r="E10" s="110" t="e">
        <f>D10+H10+#REF!+#REF!</f>
        <v>#REF!</v>
      </c>
      <c r="F10" s="110">
        <v>110</v>
      </c>
      <c r="G10" s="434">
        <v>0</v>
      </c>
      <c r="H10" s="110"/>
      <c r="I10" s="379">
        <f t="shared" ref="I10:I43" si="1">G10/D10</f>
        <v>0</v>
      </c>
    </row>
    <row r="11" spans="1:11" ht="30">
      <c r="A11" s="108" t="s">
        <v>234</v>
      </c>
      <c r="B11" s="109"/>
      <c r="C11" s="109" t="s">
        <v>125</v>
      </c>
      <c r="D11" s="564">
        <f>4488.76+1442.4+1112.89+318.32+1022.32+344.91+0.5+97.27+7.5+64.16+137.98+6.1+392.7+79+3+323.89+581.26+6.5</f>
        <v>10429.460000000001</v>
      </c>
      <c r="E11" s="110" t="e">
        <f>D11+H11+#REF!+#REF!</f>
        <v>#REF!</v>
      </c>
      <c r="F11" s="110">
        <v>10301.959999999999</v>
      </c>
      <c r="G11" s="434">
        <f>4458.92014+1437.04044+1089.17782+270.78222+1003.13042+300.60933+0.37752+88.65232+6.808+64.16+137.39872+5.07767+355.37031+71.18122+1.52885+320.82221+508.20995+6.5</f>
        <v>10125.747140000001</v>
      </c>
      <c r="H11" s="110"/>
      <c r="I11" s="379">
        <f t="shared" si="1"/>
        <v>0.97087933028172124</v>
      </c>
    </row>
    <row r="12" spans="1:11" ht="30" hidden="1" outlineLevel="1">
      <c r="A12" s="108" t="s">
        <v>235</v>
      </c>
      <c r="B12" s="109"/>
      <c r="C12" s="109" t="s">
        <v>236</v>
      </c>
      <c r="D12" s="564">
        <v>0</v>
      </c>
      <c r="E12" s="110" t="e">
        <f>D12+H12+#REF!+#REF!</f>
        <v>#REF!</v>
      </c>
      <c r="F12" s="110"/>
      <c r="G12" s="434">
        <v>0</v>
      </c>
      <c r="H12" s="110"/>
      <c r="I12" s="379"/>
    </row>
    <row r="13" spans="1:11" hidden="1" outlineLevel="1">
      <c r="A13" s="108" t="s">
        <v>237</v>
      </c>
      <c r="B13" s="109"/>
      <c r="C13" s="109" t="s">
        <v>181</v>
      </c>
      <c r="D13" s="564">
        <v>0</v>
      </c>
      <c r="E13" s="110" t="e">
        <f>D13+H13+#REF!+#REF!</f>
        <v>#REF!</v>
      </c>
      <c r="F13" s="110"/>
      <c r="G13" s="434">
        <v>0</v>
      </c>
      <c r="H13" s="110"/>
      <c r="I13" s="379"/>
    </row>
    <row r="14" spans="1:11" collapsed="1">
      <c r="A14" s="108" t="s">
        <v>162</v>
      </c>
      <c r="B14" s="109"/>
      <c r="C14" s="109" t="s">
        <v>164</v>
      </c>
      <c r="D14" s="564">
        <v>100</v>
      </c>
      <c r="E14" s="110" t="e">
        <f>D14+H14+#REF!+#REF!</f>
        <v>#REF!</v>
      </c>
      <c r="F14" s="110">
        <v>100</v>
      </c>
      <c r="G14" s="434">
        <v>0</v>
      </c>
      <c r="H14" s="110"/>
      <c r="I14" s="379">
        <f t="shared" si="1"/>
        <v>0</v>
      </c>
    </row>
    <row r="15" spans="1:11">
      <c r="A15" s="108" t="s">
        <v>238</v>
      </c>
      <c r="B15" s="109"/>
      <c r="C15" s="109" t="s">
        <v>138</v>
      </c>
      <c r="D15" s="564">
        <f>1+112.7+47.2+8.7+33.88+42.87+63.5+101.66+295+22.8+412.31+21.99+75.1+59.76+112+61.73+41.1+535+53.6</f>
        <v>2101.8999999999996</v>
      </c>
      <c r="E15" s="110" t="e">
        <f>D15+H15+#REF!+#REF!</f>
        <v>#REF!</v>
      </c>
      <c r="F15" s="110">
        <v>1819.37</v>
      </c>
      <c r="G15" s="434">
        <f>1+112.7+47.2+8.7+33.88+42.87+63.5+101.66+141+18.8+410.02422+21.99+70.86888+51.28+112+61.71848+38.35+458.23322+53.5</f>
        <v>1849.2747999999999</v>
      </c>
      <c r="H15" s="110"/>
      <c r="I15" s="379">
        <f t="shared" si="1"/>
        <v>0.87981102811741774</v>
      </c>
    </row>
    <row r="16" spans="1:11">
      <c r="A16" s="104" t="s">
        <v>239</v>
      </c>
      <c r="B16" s="105" t="s">
        <v>240</v>
      </c>
      <c r="C16" s="105"/>
      <c r="D16" s="436">
        <f>D17</f>
        <v>297.53000000000009</v>
      </c>
      <c r="E16" s="111" t="e">
        <f>E17</f>
        <v>#REF!</v>
      </c>
      <c r="F16" s="111">
        <f>F17</f>
        <v>306.18</v>
      </c>
      <c r="G16" s="437">
        <f>SUM(G17)</f>
        <v>297.53000000000009</v>
      </c>
      <c r="H16" s="112">
        <f t="shared" ref="H16" si="2">H17</f>
        <v>0</v>
      </c>
      <c r="I16" s="378">
        <f t="shared" si="1"/>
        <v>1</v>
      </c>
    </row>
    <row r="17" spans="1:9" ht="30">
      <c r="A17" s="108" t="s">
        <v>241</v>
      </c>
      <c r="B17" s="109"/>
      <c r="C17" s="109" t="s">
        <v>189</v>
      </c>
      <c r="D17" s="564">
        <f>214.86284+65.76877+2.35+3.6+0.10575+10.84264</f>
        <v>297.53000000000009</v>
      </c>
      <c r="E17" s="110" t="e">
        <f>D17+H17+#REF!+#REF!</f>
        <v>#REF!</v>
      </c>
      <c r="F17" s="110">
        <v>306.18</v>
      </c>
      <c r="G17" s="435">
        <f>214.86284+65.76877+2.35+3.6+0.10575+10.84264</f>
        <v>297.53000000000009</v>
      </c>
      <c r="H17" s="110"/>
      <c r="I17" s="379">
        <f t="shared" si="1"/>
        <v>1</v>
      </c>
    </row>
    <row r="18" spans="1:9" ht="28.5">
      <c r="A18" s="104" t="s">
        <v>242</v>
      </c>
      <c r="B18" s="105" t="s">
        <v>243</v>
      </c>
      <c r="C18" s="105"/>
      <c r="D18" s="436">
        <f>SUM(D19:D21)</f>
        <v>160</v>
      </c>
      <c r="E18" s="107" t="e">
        <f>SUM(E19:E21)</f>
        <v>#REF!</v>
      </c>
      <c r="F18" s="107">
        <f>SUM(F19:F21)</f>
        <v>160</v>
      </c>
      <c r="G18" s="216">
        <f>SUM(G19:G21)</f>
        <v>56.562529999999995</v>
      </c>
      <c r="H18" s="106">
        <f t="shared" ref="H18" si="3">SUM(H19:H21)</f>
        <v>0</v>
      </c>
      <c r="I18" s="378">
        <f t="shared" si="1"/>
        <v>0.35351581249999997</v>
      </c>
    </row>
    <row r="19" spans="1:9" ht="60">
      <c r="A19" s="108" t="s">
        <v>244</v>
      </c>
      <c r="B19" s="109"/>
      <c r="C19" s="109" t="s">
        <v>39</v>
      </c>
      <c r="D19" s="564">
        <v>100</v>
      </c>
      <c r="E19" s="215" t="e">
        <f>D19+H19+#REF!+#REF!</f>
        <v>#REF!</v>
      </c>
      <c r="F19" s="215">
        <v>100</v>
      </c>
      <c r="G19" s="435">
        <v>21.4</v>
      </c>
      <c r="H19" s="110"/>
      <c r="I19" s="379">
        <f t="shared" si="1"/>
        <v>0.214</v>
      </c>
    </row>
    <row r="20" spans="1:9" ht="22.5" customHeight="1">
      <c r="A20" s="108" t="s">
        <v>44</v>
      </c>
      <c r="B20" s="109"/>
      <c r="C20" s="109" t="s">
        <v>45</v>
      </c>
      <c r="D20" s="564">
        <v>50</v>
      </c>
      <c r="E20" s="215" t="e">
        <f>D20+H20+#REF!+#REF!</f>
        <v>#REF!</v>
      </c>
      <c r="F20" s="215">
        <v>50</v>
      </c>
      <c r="G20" s="435">
        <v>25.16253</v>
      </c>
      <c r="H20" s="110"/>
      <c r="I20" s="379">
        <f t="shared" si="1"/>
        <v>0.50325059999999999</v>
      </c>
    </row>
    <row r="21" spans="1:9" ht="30">
      <c r="A21" s="113" t="s">
        <v>50</v>
      </c>
      <c r="B21" s="114"/>
      <c r="C21" s="109" t="s">
        <v>49</v>
      </c>
      <c r="D21" s="564">
        <v>10</v>
      </c>
      <c r="E21" s="215" t="e">
        <f>D21+H21+#REF!+#REF!</f>
        <v>#REF!</v>
      </c>
      <c r="F21" s="215">
        <v>10</v>
      </c>
      <c r="G21" s="435">
        <v>10</v>
      </c>
      <c r="H21" s="110"/>
      <c r="I21" s="379">
        <f t="shared" si="1"/>
        <v>1</v>
      </c>
    </row>
    <row r="22" spans="1:9">
      <c r="A22" s="104" t="s">
        <v>245</v>
      </c>
      <c r="B22" s="105" t="s">
        <v>246</v>
      </c>
      <c r="C22" s="105"/>
      <c r="D22" s="436">
        <f>SUM(D23:D28)</f>
        <v>8529.5522999999994</v>
      </c>
      <c r="E22" s="107" t="e">
        <f>SUM(E23:E28)</f>
        <v>#REF!</v>
      </c>
      <c r="F22" s="107">
        <f>SUM(F23:F28)</f>
        <v>7547.5522999999994</v>
      </c>
      <c r="G22" s="216">
        <f>SUM(G23:G28)</f>
        <v>7783.1863599999997</v>
      </c>
      <c r="H22" s="106">
        <f t="shared" ref="H22" si="4">SUM(H23:H28)</f>
        <v>0</v>
      </c>
      <c r="I22" s="378">
        <f t="shared" si="1"/>
        <v>0.9124964694805846</v>
      </c>
    </row>
    <row r="23" spans="1:9">
      <c r="A23" s="113" t="s">
        <v>27</v>
      </c>
      <c r="B23" s="109"/>
      <c r="C23" s="109" t="s">
        <v>28</v>
      </c>
      <c r="D23" s="564">
        <v>10</v>
      </c>
      <c r="E23" s="110" t="e">
        <f>D23+H23+#REF!+#REF!</f>
        <v>#REF!</v>
      </c>
      <c r="F23" s="110">
        <v>10</v>
      </c>
      <c r="G23" s="434">
        <v>9.4499999999999993</v>
      </c>
      <c r="H23" s="110"/>
      <c r="I23" s="379">
        <f t="shared" si="1"/>
        <v>0.94499999999999995</v>
      </c>
    </row>
    <row r="24" spans="1:9" hidden="1" outlineLevel="1">
      <c r="A24" s="108" t="s">
        <v>247</v>
      </c>
      <c r="B24" s="109"/>
      <c r="C24" s="109" t="s">
        <v>248</v>
      </c>
      <c r="D24" s="564">
        <v>0</v>
      </c>
      <c r="E24" s="110" t="e">
        <f>D24+H24+#REF!+#REF!</f>
        <v>#REF!</v>
      </c>
      <c r="F24" s="110"/>
      <c r="G24" s="434">
        <v>0</v>
      </c>
      <c r="H24" s="110"/>
      <c r="I24" s="379" t="e">
        <f t="shared" si="1"/>
        <v>#DIV/0!</v>
      </c>
    </row>
    <row r="25" spans="1:9" collapsed="1">
      <c r="A25" s="108" t="s">
        <v>249</v>
      </c>
      <c r="B25" s="109"/>
      <c r="C25" s="109" t="s">
        <v>32</v>
      </c>
      <c r="D25" s="564">
        <v>10</v>
      </c>
      <c r="E25" s="110" t="e">
        <f>D25+H25+#REF!+#REF!</f>
        <v>#REF!</v>
      </c>
      <c r="F25" s="110">
        <v>10</v>
      </c>
      <c r="G25" s="434">
        <v>10</v>
      </c>
      <c r="H25" s="110"/>
      <c r="I25" s="379">
        <f t="shared" si="1"/>
        <v>1</v>
      </c>
    </row>
    <row r="26" spans="1:9">
      <c r="A26" s="108" t="s">
        <v>250</v>
      </c>
      <c r="B26" s="109"/>
      <c r="C26" s="109" t="s">
        <v>80</v>
      </c>
      <c r="D26" s="565">
        <f>482.34+104.42283+612.9186+935.0814+100+3813.28947+800+949.5</f>
        <v>7797.5523000000003</v>
      </c>
      <c r="E26" s="110">
        <f t="shared" ref="E26:F26" si="5">482.34+104.42283+537.12+662.88+100+4161.28947+949.5</f>
        <v>6997.5522999999994</v>
      </c>
      <c r="F26" s="110">
        <f t="shared" si="5"/>
        <v>6997.5522999999994</v>
      </c>
      <c r="G26" s="434">
        <f>482.34+104.42283+489.9176+835.0514+100+3361.39411+800+949.5</f>
        <v>7122.6259399999999</v>
      </c>
      <c r="H26" s="110"/>
      <c r="I26" s="379">
        <f t="shared" si="1"/>
        <v>0.91344381749129144</v>
      </c>
    </row>
    <row r="27" spans="1:9">
      <c r="A27" s="108" t="s">
        <v>13</v>
      </c>
      <c r="B27" s="109"/>
      <c r="C27" s="109" t="s">
        <v>15</v>
      </c>
      <c r="D27" s="564">
        <v>336</v>
      </c>
      <c r="E27" s="110" t="e">
        <f>D27+H27+#REF!+#REF!</f>
        <v>#REF!</v>
      </c>
      <c r="F27" s="110">
        <v>300</v>
      </c>
      <c r="G27" s="434">
        <v>325.11041999999998</v>
      </c>
      <c r="H27" s="110"/>
      <c r="I27" s="379">
        <f t="shared" si="1"/>
        <v>0.96759053571428566</v>
      </c>
    </row>
    <row r="28" spans="1:9" ht="30">
      <c r="A28" s="108" t="s">
        <v>20</v>
      </c>
      <c r="B28" s="109"/>
      <c r="C28" s="109" t="s">
        <v>21</v>
      </c>
      <c r="D28" s="564">
        <f>30+346</f>
        <v>376</v>
      </c>
      <c r="E28" s="110" t="e">
        <f>D28+H28+#REF!+#REF!</f>
        <v>#REF!</v>
      </c>
      <c r="F28" s="110">
        <v>230</v>
      </c>
      <c r="G28" s="435">
        <f>20+296</f>
        <v>316</v>
      </c>
      <c r="H28" s="110"/>
      <c r="I28" s="379">
        <f t="shared" si="1"/>
        <v>0.84042553191489366</v>
      </c>
    </row>
    <row r="29" spans="1:9" ht="15" customHeight="1">
      <c r="A29" s="104" t="s">
        <v>251</v>
      </c>
      <c r="B29" s="105" t="s">
        <v>252</v>
      </c>
      <c r="C29" s="105"/>
      <c r="D29" s="436">
        <f>SUM(D30:D33)</f>
        <v>8057</v>
      </c>
      <c r="E29" s="107" t="e">
        <f>SUM(E30:E33)</f>
        <v>#REF!</v>
      </c>
      <c r="F29" s="107">
        <f>SUM(F30:F33)</f>
        <v>5512</v>
      </c>
      <c r="G29" s="216">
        <f>SUM(G30:G32)</f>
        <v>7260.7442899999996</v>
      </c>
      <c r="H29" s="106">
        <f t="shared" ref="H29" si="6">SUM(H30:H33)</f>
        <v>0</v>
      </c>
      <c r="I29" s="378">
        <f t="shared" si="1"/>
        <v>0.9011721844358942</v>
      </c>
    </row>
    <row r="30" spans="1:9">
      <c r="A30" s="108" t="s">
        <v>253</v>
      </c>
      <c r="B30" s="109"/>
      <c r="C30" s="109" t="s">
        <v>56</v>
      </c>
      <c r="D30" s="564">
        <f>235+970</f>
        <v>1205</v>
      </c>
      <c r="E30" s="110" t="e">
        <f>D30+H30+#REF!+#REF!</f>
        <v>#REF!</v>
      </c>
      <c r="F30" s="110">
        <v>885</v>
      </c>
      <c r="G30" s="434">
        <f>204.63853+951.30873</f>
        <v>1155.9472599999999</v>
      </c>
      <c r="H30" s="110"/>
      <c r="I30" s="379">
        <f t="shared" si="1"/>
        <v>0.95929233195020736</v>
      </c>
    </row>
    <row r="31" spans="1:9">
      <c r="A31" s="108" t="s">
        <v>254</v>
      </c>
      <c r="B31" s="109"/>
      <c r="C31" s="109" t="s">
        <v>64</v>
      </c>
      <c r="D31" s="564">
        <f>115+85+185</f>
        <v>385</v>
      </c>
      <c r="E31" s="110" t="e">
        <f>D31+H31+#REF!+#REF!</f>
        <v>#REF!</v>
      </c>
      <c r="F31" s="110">
        <v>185</v>
      </c>
      <c r="G31" s="434">
        <f>106.56398+154.7659</f>
        <v>261.32988</v>
      </c>
      <c r="H31" s="110"/>
      <c r="I31" s="379">
        <f t="shared" si="1"/>
        <v>0.6787789090909091</v>
      </c>
    </row>
    <row r="32" spans="1:9">
      <c r="A32" s="108" t="s">
        <v>67</v>
      </c>
      <c r="B32" s="109"/>
      <c r="C32" s="109" t="s">
        <v>68</v>
      </c>
      <c r="D32" s="564">
        <f>50+200+1055+93.19943+6.80057+50+96+190+3120.752+10+132.01+283.828+679.41+99.5+301.5+99</f>
        <v>6467</v>
      </c>
      <c r="E32" s="110" t="e">
        <f>D32+H32+#REF!+#REF!</f>
        <v>#REF!</v>
      </c>
      <c r="F32" s="110">
        <v>4442</v>
      </c>
      <c r="G32" s="434">
        <f>50+200+1055+93.19943+6.80057+50+96+190+2779.78471+10+283.828+529.09914+99.5+301.2553+99</f>
        <v>5843.4671499999995</v>
      </c>
      <c r="H32" s="110"/>
      <c r="I32" s="379">
        <f t="shared" si="1"/>
        <v>0.90358236431111794</v>
      </c>
    </row>
    <row r="33" spans="1:9" hidden="1" outlineLevel="1">
      <c r="A33" s="108" t="s">
        <v>255</v>
      </c>
      <c r="B33" s="109"/>
      <c r="C33" s="109" t="s">
        <v>256</v>
      </c>
      <c r="D33" s="564">
        <v>0</v>
      </c>
      <c r="E33" s="110" t="e">
        <f>D33+H33+#REF!+#REF!</f>
        <v>#REF!</v>
      </c>
      <c r="F33" s="110"/>
      <c r="G33" s="434">
        <v>0</v>
      </c>
      <c r="H33" s="110"/>
      <c r="I33" s="379"/>
    </row>
    <row r="34" spans="1:9" collapsed="1">
      <c r="A34" s="104" t="s">
        <v>257</v>
      </c>
      <c r="B34" s="105" t="s">
        <v>258</v>
      </c>
      <c r="C34" s="105"/>
      <c r="D34" s="436">
        <f>D35</f>
        <v>335.42527000000001</v>
      </c>
      <c r="E34" s="111" t="e">
        <f>E35</f>
        <v>#REF!</v>
      </c>
      <c r="F34" s="111">
        <f>F35</f>
        <v>335.65800000000002</v>
      </c>
      <c r="G34" s="216">
        <f>SUM(G35)</f>
        <v>333.72240000000005</v>
      </c>
      <c r="H34" s="106">
        <f t="shared" ref="H34" si="7">H35</f>
        <v>0</v>
      </c>
      <c r="I34" s="378">
        <f t="shared" si="1"/>
        <v>0.99492325071393706</v>
      </c>
    </row>
    <row r="35" spans="1:9" ht="30">
      <c r="A35" s="108" t="s">
        <v>106</v>
      </c>
      <c r="B35" s="109"/>
      <c r="C35" s="109" t="s">
        <v>107</v>
      </c>
      <c r="D35" s="566">
        <f>30+40+220+45.42527</f>
        <v>335.42527000000001</v>
      </c>
      <c r="E35" s="110" t="e">
        <f>D35+H35+#REF!+#REF!</f>
        <v>#REF!</v>
      </c>
      <c r="F35" s="110">
        <v>335.65800000000002</v>
      </c>
      <c r="G35" s="435">
        <f>30+38.626+219.67113+45.42527</f>
        <v>333.72240000000005</v>
      </c>
      <c r="H35" s="215"/>
      <c r="I35" s="379">
        <f t="shared" si="1"/>
        <v>0.99492325071393706</v>
      </c>
    </row>
    <row r="36" spans="1:9">
      <c r="A36" s="104" t="s">
        <v>259</v>
      </c>
      <c r="B36" s="105" t="s">
        <v>260</v>
      </c>
      <c r="C36" s="105"/>
      <c r="D36" s="436">
        <f>D37</f>
        <v>14488.977699999999</v>
      </c>
      <c r="E36" s="111" t="e">
        <f>E37</f>
        <v>#REF!</v>
      </c>
      <c r="F36" s="111">
        <f>F37</f>
        <v>12831.39</v>
      </c>
      <c r="G36" s="216">
        <f>SUM(G37)</f>
        <v>14474.197699999997</v>
      </c>
      <c r="H36" s="106">
        <f t="shared" ref="H36" si="8">H37</f>
        <v>0</v>
      </c>
      <c r="I36" s="378">
        <f t="shared" si="1"/>
        <v>0.998979914228179</v>
      </c>
    </row>
    <row r="37" spans="1:9">
      <c r="A37" s="108" t="s">
        <v>261</v>
      </c>
      <c r="B37" s="109"/>
      <c r="C37" s="109" t="s">
        <v>94</v>
      </c>
      <c r="D37" s="564">
        <f>8852.96+19.89+647.65+75.89+25+60.95+149.05+184.2877+908.912+76.688+2712.7+775</f>
        <v>14488.977699999999</v>
      </c>
      <c r="E37" s="110" t="e">
        <f>D37+H37+#REF!+#REF!</f>
        <v>#REF!</v>
      </c>
      <c r="F37" s="110">
        <v>12831.39</v>
      </c>
      <c r="G37" s="434">
        <f>8852.96+19.89+647.65+75.89+18.3+60.95+140.97+184.2877+908.912+76.688+2712.7+775</f>
        <v>14474.197699999997</v>
      </c>
      <c r="H37" s="110"/>
      <c r="I37" s="379">
        <f t="shared" si="1"/>
        <v>0.998979914228179</v>
      </c>
    </row>
    <row r="38" spans="1:9">
      <c r="A38" s="104" t="s">
        <v>262</v>
      </c>
      <c r="B38" s="105" t="s">
        <v>263</v>
      </c>
      <c r="C38" s="105"/>
      <c r="D38" s="436">
        <f>D39</f>
        <v>1023.52</v>
      </c>
      <c r="E38" s="111" t="e">
        <f>E39</f>
        <v>#REF!</v>
      </c>
      <c r="F38" s="111">
        <f>F39</f>
        <v>1023.52</v>
      </c>
      <c r="G38" s="216">
        <f>SUM(G39)</f>
        <v>1021.92</v>
      </c>
      <c r="H38" s="106">
        <f t="shared" ref="H38" si="9">H39</f>
        <v>0</v>
      </c>
      <c r="I38" s="378">
        <f t="shared" si="1"/>
        <v>0.99843676723464125</v>
      </c>
    </row>
    <row r="39" spans="1:9">
      <c r="A39" s="108" t="s">
        <v>176</v>
      </c>
      <c r="B39" s="109"/>
      <c r="C39" s="109" t="s">
        <v>178</v>
      </c>
      <c r="D39" s="564">
        <v>1023.52</v>
      </c>
      <c r="E39" s="110" t="e">
        <f>D39+H39+#REF!+#REF!</f>
        <v>#REF!</v>
      </c>
      <c r="F39" s="110">
        <v>1023.52</v>
      </c>
      <c r="G39" s="434">
        <v>1021.92</v>
      </c>
      <c r="H39" s="110"/>
      <c r="I39" s="379">
        <f t="shared" si="1"/>
        <v>0.99843676723464125</v>
      </c>
    </row>
    <row r="40" spans="1:9">
      <c r="A40" s="104" t="s">
        <v>264</v>
      </c>
      <c r="B40" s="105" t="s">
        <v>265</v>
      </c>
      <c r="C40" s="105"/>
      <c r="D40" s="436">
        <f>SUM(D41:D42)</f>
        <v>3314</v>
      </c>
      <c r="E40" s="107" t="e">
        <f>SUM(E41:E42)</f>
        <v>#REF!</v>
      </c>
      <c r="F40" s="107">
        <f>SUM(F41:F42)</f>
        <v>2885</v>
      </c>
      <c r="G40" s="216">
        <f>SUM(G41:G42)</f>
        <v>1392.1799999999998</v>
      </c>
      <c r="H40" s="106">
        <f t="shared" ref="H40" si="10">SUM(H41:H42)</f>
        <v>0</v>
      </c>
      <c r="I40" s="378">
        <f t="shared" si="1"/>
        <v>0.42009052504526245</v>
      </c>
    </row>
    <row r="41" spans="1:9">
      <c r="A41" s="113" t="s">
        <v>220</v>
      </c>
      <c r="B41" s="114"/>
      <c r="C41" s="109" t="s">
        <v>221</v>
      </c>
      <c r="D41" s="564">
        <v>429</v>
      </c>
      <c r="E41" s="110" t="e">
        <f>D41+H41+#REF!+#REF!</f>
        <v>#REF!</v>
      </c>
      <c r="F41" s="110">
        <v>0</v>
      </c>
      <c r="G41" s="434">
        <v>429</v>
      </c>
      <c r="H41" s="110"/>
      <c r="I41" s="379">
        <f t="shared" si="1"/>
        <v>1</v>
      </c>
    </row>
    <row r="42" spans="1:9">
      <c r="A42" s="108" t="s">
        <v>98</v>
      </c>
      <c r="B42" s="109"/>
      <c r="C42" s="109" t="s">
        <v>99</v>
      </c>
      <c r="D42" s="564">
        <f>855+10+90+30+1900</f>
        <v>2885</v>
      </c>
      <c r="E42" s="110" t="e">
        <f>D42+H42+#REF!+#REF!</f>
        <v>#REF!</v>
      </c>
      <c r="F42" s="110">
        <v>2885</v>
      </c>
      <c r="G42" s="434">
        <f>855+7.8+75.88+24.5</f>
        <v>963.18</v>
      </c>
      <c r="H42" s="110"/>
      <c r="I42" s="379">
        <f t="shared" si="1"/>
        <v>0.33385788561525126</v>
      </c>
    </row>
    <row r="43" spans="1:9">
      <c r="A43" s="115" t="s">
        <v>266</v>
      </c>
      <c r="B43" s="115"/>
      <c r="C43" s="115"/>
      <c r="D43" s="216">
        <f>D9+D16+D18+D22+D29+D34+D36+D38+D40</f>
        <v>48947.365270000002</v>
      </c>
      <c r="E43" s="111" t="e">
        <f>E9+E16+E18+E22+E29+E34+E36+E38+E40</f>
        <v>#REF!</v>
      </c>
      <c r="F43" s="111">
        <f>F9+F16+F18+F22+F29+F34+F36+F38+F40</f>
        <v>42932.630299999997</v>
      </c>
      <c r="G43" s="216">
        <f>G9+G16+G18+G22+G29+G34+G36+G38+G40</f>
        <v>44595.065219999997</v>
      </c>
      <c r="H43" s="216">
        <f t="shared" ref="H43" si="11">H9+H16+H18+H22+H29+H34+H36+H38+H40</f>
        <v>0</v>
      </c>
      <c r="I43" s="378">
        <f t="shared" si="1"/>
        <v>0.91108203626503381</v>
      </c>
    </row>
    <row r="44" spans="1:9">
      <c r="G44" s="439"/>
      <c r="H44" s="217">
        <f>SUM(H11:H40)</f>
        <v>0</v>
      </c>
    </row>
    <row r="45" spans="1:9">
      <c r="D45" s="532"/>
    </row>
  </sheetData>
  <mergeCells count="14">
    <mergeCell ref="H6:H8"/>
    <mergeCell ref="I6:I8"/>
    <mergeCell ref="D1:G1"/>
    <mergeCell ref="C3:G3"/>
    <mergeCell ref="D4:G4"/>
    <mergeCell ref="F6:F8"/>
    <mergeCell ref="G6:G8"/>
    <mergeCell ref="A5:G5"/>
    <mergeCell ref="A6:A8"/>
    <mergeCell ref="B6:B8"/>
    <mergeCell ref="C6:C8"/>
    <mergeCell ref="D6:D8"/>
    <mergeCell ref="E6:E8"/>
    <mergeCell ref="D2:G2"/>
  </mergeCells>
  <pageMargins left="0.9055118110236221" right="0.11811023622047245" top="0.35433070866141736" bottom="0.35433070866141736" header="0.31496062992125984" footer="0.31496062992125984"/>
  <pageSetup paperSize="9" scale="8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79"/>
  <sheetViews>
    <sheetView view="pageBreakPreview" zoomScale="80" zoomScaleNormal="100" zoomScaleSheetLayoutView="80" workbookViewId="0">
      <selection activeCell="B3" sqref="B3"/>
    </sheetView>
  </sheetViews>
  <sheetFormatPr defaultRowHeight="12.75" outlineLevelRow="1"/>
  <cols>
    <col min="1" max="1" width="50.7109375" style="2" customWidth="1"/>
    <col min="2" max="2" width="10" style="2" customWidth="1"/>
    <col min="3" max="3" width="8" style="2" customWidth="1"/>
    <col min="4" max="4" width="9.28515625" style="2" customWidth="1"/>
    <col min="5" max="5" width="16" style="132" customWidth="1"/>
    <col min="6" max="6" width="6.28515625" style="2" hidden="1" customWidth="1"/>
    <col min="7" max="7" width="6" style="2" hidden="1" customWidth="1"/>
    <col min="8" max="8" width="7.28515625" style="2" hidden="1" customWidth="1"/>
    <col min="9" max="9" width="6.28515625" style="2" hidden="1" customWidth="1"/>
    <col min="10" max="10" width="12.5703125" style="2" hidden="1" customWidth="1"/>
    <col min="11" max="11" width="15.140625" style="132" customWidth="1"/>
    <col min="12" max="12" width="12" style="380" customWidth="1"/>
    <col min="13" max="13" width="14.140625" style="269" hidden="1" customWidth="1"/>
    <col min="14" max="14" width="0" style="269" hidden="1" customWidth="1"/>
    <col min="15" max="15" width="9.28515625" style="2" hidden="1" customWidth="1"/>
    <col min="16" max="17" width="0" style="2" hidden="1" customWidth="1"/>
    <col min="18" max="253" width="9.140625" style="2"/>
    <col min="254" max="254" width="50.7109375" style="2" customWidth="1"/>
    <col min="255" max="255" width="10" style="2" customWidth="1"/>
    <col min="256" max="256" width="8" style="2" customWidth="1"/>
    <col min="257" max="257" width="9.85546875" style="2" customWidth="1"/>
    <col min="258" max="258" width="12.28515625" style="2" customWidth="1"/>
    <col min="259" max="259" width="0" style="2" hidden="1" customWidth="1"/>
    <col min="260" max="260" width="14.42578125" style="2" customWidth="1"/>
    <col min="261" max="261" width="0" style="2" hidden="1" customWidth="1"/>
    <col min="262" max="262" width="6.28515625" style="2" customWidth="1"/>
    <col min="263" max="263" width="6" style="2" customWidth="1"/>
    <col min="264" max="264" width="7.28515625" style="2" customWidth="1"/>
    <col min="265" max="265" width="6.28515625" style="2" customWidth="1"/>
    <col min="266" max="266" width="12.5703125" style="2" customWidth="1"/>
    <col min="267" max="509" width="9.140625" style="2"/>
    <col min="510" max="510" width="50.7109375" style="2" customWidth="1"/>
    <col min="511" max="511" width="10" style="2" customWidth="1"/>
    <col min="512" max="512" width="8" style="2" customWidth="1"/>
    <col min="513" max="513" width="9.85546875" style="2" customWidth="1"/>
    <col min="514" max="514" width="12.28515625" style="2" customWidth="1"/>
    <col min="515" max="515" width="0" style="2" hidden="1" customWidth="1"/>
    <col min="516" max="516" width="14.42578125" style="2" customWidth="1"/>
    <col min="517" max="517" width="0" style="2" hidden="1" customWidth="1"/>
    <col min="518" max="518" width="6.28515625" style="2" customWidth="1"/>
    <col min="519" max="519" width="6" style="2" customWidth="1"/>
    <col min="520" max="520" width="7.28515625" style="2" customWidth="1"/>
    <col min="521" max="521" width="6.28515625" style="2" customWidth="1"/>
    <col min="522" max="522" width="12.5703125" style="2" customWidth="1"/>
    <col min="523" max="765" width="9.140625" style="2"/>
    <col min="766" max="766" width="50.7109375" style="2" customWidth="1"/>
    <col min="767" max="767" width="10" style="2" customWidth="1"/>
    <col min="768" max="768" width="8" style="2" customWidth="1"/>
    <col min="769" max="769" width="9.85546875" style="2" customWidth="1"/>
    <col min="770" max="770" width="12.28515625" style="2" customWidth="1"/>
    <col min="771" max="771" width="0" style="2" hidden="1" customWidth="1"/>
    <col min="772" max="772" width="14.42578125" style="2" customWidth="1"/>
    <col min="773" max="773" width="0" style="2" hidden="1" customWidth="1"/>
    <col min="774" max="774" width="6.28515625" style="2" customWidth="1"/>
    <col min="775" max="775" width="6" style="2" customWidth="1"/>
    <col min="776" max="776" width="7.28515625" style="2" customWidth="1"/>
    <col min="777" max="777" width="6.28515625" style="2" customWidth="1"/>
    <col min="778" max="778" width="12.5703125" style="2" customWidth="1"/>
    <col min="779" max="1021" width="9.140625" style="2"/>
    <col min="1022" max="1022" width="50.7109375" style="2" customWidth="1"/>
    <col min="1023" max="1023" width="10" style="2" customWidth="1"/>
    <col min="1024" max="1024" width="8" style="2" customWidth="1"/>
    <col min="1025" max="1025" width="9.85546875" style="2" customWidth="1"/>
    <col min="1026" max="1026" width="12.28515625" style="2" customWidth="1"/>
    <col min="1027" max="1027" width="0" style="2" hidden="1" customWidth="1"/>
    <col min="1028" max="1028" width="14.42578125" style="2" customWidth="1"/>
    <col min="1029" max="1029" width="0" style="2" hidden="1" customWidth="1"/>
    <col min="1030" max="1030" width="6.28515625" style="2" customWidth="1"/>
    <col min="1031" max="1031" width="6" style="2" customWidth="1"/>
    <col min="1032" max="1032" width="7.28515625" style="2" customWidth="1"/>
    <col min="1033" max="1033" width="6.28515625" style="2" customWidth="1"/>
    <col min="1034" max="1034" width="12.5703125" style="2" customWidth="1"/>
    <col min="1035" max="1277" width="9.140625" style="2"/>
    <col min="1278" max="1278" width="50.7109375" style="2" customWidth="1"/>
    <col min="1279" max="1279" width="10" style="2" customWidth="1"/>
    <col min="1280" max="1280" width="8" style="2" customWidth="1"/>
    <col min="1281" max="1281" width="9.85546875" style="2" customWidth="1"/>
    <col min="1282" max="1282" width="12.28515625" style="2" customWidth="1"/>
    <col min="1283" max="1283" width="0" style="2" hidden="1" customWidth="1"/>
    <col min="1284" max="1284" width="14.42578125" style="2" customWidth="1"/>
    <col min="1285" max="1285" width="0" style="2" hidden="1" customWidth="1"/>
    <col min="1286" max="1286" width="6.28515625" style="2" customWidth="1"/>
    <col min="1287" max="1287" width="6" style="2" customWidth="1"/>
    <col min="1288" max="1288" width="7.28515625" style="2" customWidth="1"/>
    <col min="1289" max="1289" width="6.28515625" style="2" customWidth="1"/>
    <col min="1290" max="1290" width="12.5703125" style="2" customWidth="1"/>
    <col min="1291" max="1533" width="9.140625" style="2"/>
    <col min="1534" max="1534" width="50.7109375" style="2" customWidth="1"/>
    <col min="1535" max="1535" width="10" style="2" customWidth="1"/>
    <col min="1536" max="1536" width="8" style="2" customWidth="1"/>
    <col min="1537" max="1537" width="9.85546875" style="2" customWidth="1"/>
    <col min="1538" max="1538" width="12.28515625" style="2" customWidth="1"/>
    <col min="1539" max="1539" width="0" style="2" hidden="1" customWidth="1"/>
    <col min="1540" max="1540" width="14.42578125" style="2" customWidth="1"/>
    <col min="1541" max="1541" width="0" style="2" hidden="1" customWidth="1"/>
    <col min="1542" max="1542" width="6.28515625" style="2" customWidth="1"/>
    <col min="1543" max="1543" width="6" style="2" customWidth="1"/>
    <col min="1544" max="1544" width="7.28515625" style="2" customWidth="1"/>
    <col min="1545" max="1545" width="6.28515625" style="2" customWidth="1"/>
    <col min="1546" max="1546" width="12.5703125" style="2" customWidth="1"/>
    <col min="1547" max="1789" width="9.140625" style="2"/>
    <col min="1790" max="1790" width="50.7109375" style="2" customWidth="1"/>
    <col min="1791" max="1791" width="10" style="2" customWidth="1"/>
    <col min="1792" max="1792" width="8" style="2" customWidth="1"/>
    <col min="1793" max="1793" width="9.85546875" style="2" customWidth="1"/>
    <col min="1794" max="1794" width="12.28515625" style="2" customWidth="1"/>
    <col min="1795" max="1795" width="0" style="2" hidden="1" customWidth="1"/>
    <col min="1796" max="1796" width="14.42578125" style="2" customWidth="1"/>
    <col min="1797" max="1797" width="0" style="2" hidden="1" customWidth="1"/>
    <col min="1798" max="1798" width="6.28515625" style="2" customWidth="1"/>
    <col min="1799" max="1799" width="6" style="2" customWidth="1"/>
    <col min="1800" max="1800" width="7.28515625" style="2" customWidth="1"/>
    <col min="1801" max="1801" width="6.28515625" style="2" customWidth="1"/>
    <col min="1802" max="1802" width="12.5703125" style="2" customWidth="1"/>
    <col min="1803" max="2045" width="9.140625" style="2"/>
    <col min="2046" max="2046" width="50.7109375" style="2" customWidth="1"/>
    <col min="2047" max="2047" width="10" style="2" customWidth="1"/>
    <col min="2048" max="2048" width="8" style="2" customWidth="1"/>
    <col min="2049" max="2049" width="9.85546875" style="2" customWidth="1"/>
    <col min="2050" max="2050" width="12.28515625" style="2" customWidth="1"/>
    <col min="2051" max="2051" width="0" style="2" hidden="1" customWidth="1"/>
    <col min="2052" max="2052" width="14.42578125" style="2" customWidth="1"/>
    <col min="2053" max="2053" width="0" style="2" hidden="1" customWidth="1"/>
    <col min="2054" max="2054" width="6.28515625" style="2" customWidth="1"/>
    <col min="2055" max="2055" width="6" style="2" customWidth="1"/>
    <col min="2056" max="2056" width="7.28515625" style="2" customWidth="1"/>
    <col min="2057" max="2057" width="6.28515625" style="2" customWidth="1"/>
    <col min="2058" max="2058" width="12.5703125" style="2" customWidth="1"/>
    <col min="2059" max="2301" width="9.140625" style="2"/>
    <col min="2302" max="2302" width="50.7109375" style="2" customWidth="1"/>
    <col min="2303" max="2303" width="10" style="2" customWidth="1"/>
    <col min="2304" max="2304" width="8" style="2" customWidth="1"/>
    <col min="2305" max="2305" width="9.85546875" style="2" customWidth="1"/>
    <col min="2306" max="2306" width="12.28515625" style="2" customWidth="1"/>
    <col min="2307" max="2307" width="0" style="2" hidden="1" customWidth="1"/>
    <col min="2308" max="2308" width="14.42578125" style="2" customWidth="1"/>
    <col min="2309" max="2309" width="0" style="2" hidden="1" customWidth="1"/>
    <col min="2310" max="2310" width="6.28515625" style="2" customWidth="1"/>
    <col min="2311" max="2311" width="6" style="2" customWidth="1"/>
    <col min="2312" max="2312" width="7.28515625" style="2" customWidth="1"/>
    <col min="2313" max="2313" width="6.28515625" style="2" customWidth="1"/>
    <col min="2314" max="2314" width="12.5703125" style="2" customWidth="1"/>
    <col min="2315" max="2557" width="9.140625" style="2"/>
    <col min="2558" max="2558" width="50.7109375" style="2" customWidth="1"/>
    <col min="2559" max="2559" width="10" style="2" customWidth="1"/>
    <col min="2560" max="2560" width="8" style="2" customWidth="1"/>
    <col min="2561" max="2561" width="9.85546875" style="2" customWidth="1"/>
    <col min="2562" max="2562" width="12.28515625" style="2" customWidth="1"/>
    <col min="2563" max="2563" width="0" style="2" hidden="1" customWidth="1"/>
    <col min="2564" max="2564" width="14.42578125" style="2" customWidth="1"/>
    <col min="2565" max="2565" width="0" style="2" hidden="1" customWidth="1"/>
    <col min="2566" max="2566" width="6.28515625" style="2" customWidth="1"/>
    <col min="2567" max="2567" width="6" style="2" customWidth="1"/>
    <col min="2568" max="2568" width="7.28515625" style="2" customWidth="1"/>
    <col min="2569" max="2569" width="6.28515625" style="2" customWidth="1"/>
    <col min="2570" max="2570" width="12.5703125" style="2" customWidth="1"/>
    <col min="2571" max="2813" width="9.140625" style="2"/>
    <col min="2814" max="2814" width="50.7109375" style="2" customWidth="1"/>
    <col min="2815" max="2815" width="10" style="2" customWidth="1"/>
    <col min="2816" max="2816" width="8" style="2" customWidth="1"/>
    <col min="2817" max="2817" width="9.85546875" style="2" customWidth="1"/>
    <col min="2818" max="2818" width="12.28515625" style="2" customWidth="1"/>
    <col min="2819" max="2819" width="0" style="2" hidden="1" customWidth="1"/>
    <col min="2820" max="2820" width="14.42578125" style="2" customWidth="1"/>
    <col min="2821" max="2821" width="0" style="2" hidden="1" customWidth="1"/>
    <col min="2822" max="2822" width="6.28515625" style="2" customWidth="1"/>
    <col min="2823" max="2823" width="6" style="2" customWidth="1"/>
    <col min="2824" max="2824" width="7.28515625" style="2" customWidth="1"/>
    <col min="2825" max="2825" width="6.28515625" style="2" customWidth="1"/>
    <col min="2826" max="2826" width="12.5703125" style="2" customWidth="1"/>
    <col min="2827" max="3069" width="9.140625" style="2"/>
    <col min="3070" max="3070" width="50.7109375" style="2" customWidth="1"/>
    <col min="3071" max="3071" width="10" style="2" customWidth="1"/>
    <col min="3072" max="3072" width="8" style="2" customWidth="1"/>
    <col min="3073" max="3073" width="9.85546875" style="2" customWidth="1"/>
    <col min="3074" max="3074" width="12.28515625" style="2" customWidth="1"/>
    <col min="3075" max="3075" width="0" style="2" hidden="1" customWidth="1"/>
    <col min="3076" max="3076" width="14.42578125" style="2" customWidth="1"/>
    <col min="3077" max="3077" width="0" style="2" hidden="1" customWidth="1"/>
    <col min="3078" max="3078" width="6.28515625" style="2" customWidth="1"/>
    <col min="3079" max="3079" width="6" style="2" customWidth="1"/>
    <col min="3080" max="3080" width="7.28515625" style="2" customWidth="1"/>
    <col min="3081" max="3081" width="6.28515625" style="2" customWidth="1"/>
    <col min="3082" max="3082" width="12.5703125" style="2" customWidth="1"/>
    <col min="3083" max="3325" width="9.140625" style="2"/>
    <col min="3326" max="3326" width="50.7109375" style="2" customWidth="1"/>
    <col min="3327" max="3327" width="10" style="2" customWidth="1"/>
    <col min="3328" max="3328" width="8" style="2" customWidth="1"/>
    <col min="3329" max="3329" width="9.85546875" style="2" customWidth="1"/>
    <col min="3330" max="3330" width="12.28515625" style="2" customWidth="1"/>
    <col min="3331" max="3331" width="0" style="2" hidden="1" customWidth="1"/>
    <col min="3332" max="3332" width="14.42578125" style="2" customWidth="1"/>
    <col min="3333" max="3333" width="0" style="2" hidden="1" customWidth="1"/>
    <col min="3334" max="3334" width="6.28515625" style="2" customWidth="1"/>
    <col min="3335" max="3335" width="6" style="2" customWidth="1"/>
    <col min="3336" max="3336" width="7.28515625" style="2" customWidth="1"/>
    <col min="3337" max="3337" width="6.28515625" style="2" customWidth="1"/>
    <col min="3338" max="3338" width="12.5703125" style="2" customWidth="1"/>
    <col min="3339" max="3581" width="9.140625" style="2"/>
    <col min="3582" max="3582" width="50.7109375" style="2" customWidth="1"/>
    <col min="3583" max="3583" width="10" style="2" customWidth="1"/>
    <col min="3584" max="3584" width="8" style="2" customWidth="1"/>
    <col min="3585" max="3585" width="9.85546875" style="2" customWidth="1"/>
    <col min="3586" max="3586" width="12.28515625" style="2" customWidth="1"/>
    <col min="3587" max="3587" width="0" style="2" hidden="1" customWidth="1"/>
    <col min="3588" max="3588" width="14.42578125" style="2" customWidth="1"/>
    <col min="3589" max="3589" width="0" style="2" hidden="1" customWidth="1"/>
    <col min="3590" max="3590" width="6.28515625" style="2" customWidth="1"/>
    <col min="3591" max="3591" width="6" style="2" customWidth="1"/>
    <col min="3592" max="3592" width="7.28515625" style="2" customWidth="1"/>
    <col min="3593" max="3593" width="6.28515625" style="2" customWidth="1"/>
    <col min="3594" max="3594" width="12.5703125" style="2" customWidth="1"/>
    <col min="3595" max="3837" width="9.140625" style="2"/>
    <col min="3838" max="3838" width="50.7109375" style="2" customWidth="1"/>
    <col min="3839" max="3839" width="10" style="2" customWidth="1"/>
    <col min="3840" max="3840" width="8" style="2" customWidth="1"/>
    <col min="3841" max="3841" width="9.85546875" style="2" customWidth="1"/>
    <col min="3842" max="3842" width="12.28515625" style="2" customWidth="1"/>
    <col min="3843" max="3843" width="0" style="2" hidden="1" customWidth="1"/>
    <col min="3844" max="3844" width="14.42578125" style="2" customWidth="1"/>
    <col min="3845" max="3845" width="0" style="2" hidden="1" customWidth="1"/>
    <col min="3846" max="3846" width="6.28515625" style="2" customWidth="1"/>
    <col min="3847" max="3847" width="6" style="2" customWidth="1"/>
    <col min="3848" max="3848" width="7.28515625" style="2" customWidth="1"/>
    <col min="3849" max="3849" width="6.28515625" style="2" customWidth="1"/>
    <col min="3850" max="3850" width="12.5703125" style="2" customWidth="1"/>
    <col min="3851" max="4093" width="9.140625" style="2"/>
    <col min="4094" max="4094" width="50.7109375" style="2" customWidth="1"/>
    <col min="4095" max="4095" width="10" style="2" customWidth="1"/>
    <col min="4096" max="4096" width="8" style="2" customWidth="1"/>
    <col min="4097" max="4097" width="9.85546875" style="2" customWidth="1"/>
    <col min="4098" max="4098" width="12.28515625" style="2" customWidth="1"/>
    <col min="4099" max="4099" width="0" style="2" hidden="1" customWidth="1"/>
    <col min="4100" max="4100" width="14.42578125" style="2" customWidth="1"/>
    <col min="4101" max="4101" width="0" style="2" hidden="1" customWidth="1"/>
    <col min="4102" max="4102" width="6.28515625" style="2" customWidth="1"/>
    <col min="4103" max="4103" width="6" style="2" customWidth="1"/>
    <col min="4104" max="4104" width="7.28515625" style="2" customWidth="1"/>
    <col min="4105" max="4105" width="6.28515625" style="2" customWidth="1"/>
    <col min="4106" max="4106" width="12.5703125" style="2" customWidth="1"/>
    <col min="4107" max="4349" width="9.140625" style="2"/>
    <col min="4350" max="4350" width="50.7109375" style="2" customWidth="1"/>
    <col min="4351" max="4351" width="10" style="2" customWidth="1"/>
    <col min="4352" max="4352" width="8" style="2" customWidth="1"/>
    <col min="4353" max="4353" width="9.85546875" style="2" customWidth="1"/>
    <col min="4354" max="4354" width="12.28515625" style="2" customWidth="1"/>
    <col min="4355" max="4355" width="0" style="2" hidden="1" customWidth="1"/>
    <col min="4356" max="4356" width="14.42578125" style="2" customWidth="1"/>
    <col min="4357" max="4357" width="0" style="2" hidden="1" customWidth="1"/>
    <col min="4358" max="4358" width="6.28515625" style="2" customWidth="1"/>
    <col min="4359" max="4359" width="6" style="2" customWidth="1"/>
    <col min="4360" max="4360" width="7.28515625" style="2" customWidth="1"/>
    <col min="4361" max="4361" width="6.28515625" style="2" customWidth="1"/>
    <col min="4362" max="4362" width="12.5703125" style="2" customWidth="1"/>
    <col min="4363" max="4605" width="9.140625" style="2"/>
    <col min="4606" max="4606" width="50.7109375" style="2" customWidth="1"/>
    <col min="4607" max="4607" width="10" style="2" customWidth="1"/>
    <col min="4608" max="4608" width="8" style="2" customWidth="1"/>
    <col min="4609" max="4609" width="9.85546875" style="2" customWidth="1"/>
    <col min="4610" max="4610" width="12.28515625" style="2" customWidth="1"/>
    <col min="4611" max="4611" width="0" style="2" hidden="1" customWidth="1"/>
    <col min="4612" max="4612" width="14.42578125" style="2" customWidth="1"/>
    <col min="4613" max="4613" width="0" style="2" hidden="1" customWidth="1"/>
    <col min="4614" max="4614" width="6.28515625" style="2" customWidth="1"/>
    <col min="4615" max="4615" width="6" style="2" customWidth="1"/>
    <col min="4616" max="4616" width="7.28515625" style="2" customWidth="1"/>
    <col min="4617" max="4617" width="6.28515625" style="2" customWidth="1"/>
    <col min="4618" max="4618" width="12.5703125" style="2" customWidth="1"/>
    <col min="4619" max="4861" width="9.140625" style="2"/>
    <col min="4862" max="4862" width="50.7109375" style="2" customWidth="1"/>
    <col min="4863" max="4863" width="10" style="2" customWidth="1"/>
    <col min="4864" max="4864" width="8" style="2" customWidth="1"/>
    <col min="4865" max="4865" width="9.85546875" style="2" customWidth="1"/>
    <col min="4866" max="4866" width="12.28515625" style="2" customWidth="1"/>
    <col min="4867" max="4867" width="0" style="2" hidden="1" customWidth="1"/>
    <col min="4868" max="4868" width="14.42578125" style="2" customWidth="1"/>
    <col min="4869" max="4869" width="0" style="2" hidden="1" customWidth="1"/>
    <col min="4870" max="4870" width="6.28515625" style="2" customWidth="1"/>
    <col min="4871" max="4871" width="6" style="2" customWidth="1"/>
    <col min="4872" max="4872" width="7.28515625" style="2" customWidth="1"/>
    <col min="4873" max="4873" width="6.28515625" style="2" customWidth="1"/>
    <col min="4874" max="4874" width="12.5703125" style="2" customWidth="1"/>
    <col min="4875" max="5117" width="9.140625" style="2"/>
    <col min="5118" max="5118" width="50.7109375" style="2" customWidth="1"/>
    <col min="5119" max="5119" width="10" style="2" customWidth="1"/>
    <col min="5120" max="5120" width="8" style="2" customWidth="1"/>
    <col min="5121" max="5121" width="9.85546875" style="2" customWidth="1"/>
    <col min="5122" max="5122" width="12.28515625" style="2" customWidth="1"/>
    <col min="5123" max="5123" width="0" style="2" hidden="1" customWidth="1"/>
    <col min="5124" max="5124" width="14.42578125" style="2" customWidth="1"/>
    <col min="5125" max="5125" width="0" style="2" hidden="1" customWidth="1"/>
    <col min="5126" max="5126" width="6.28515625" style="2" customWidth="1"/>
    <col min="5127" max="5127" width="6" style="2" customWidth="1"/>
    <col min="5128" max="5128" width="7.28515625" style="2" customWidth="1"/>
    <col min="5129" max="5129" width="6.28515625" style="2" customWidth="1"/>
    <col min="5130" max="5130" width="12.5703125" style="2" customWidth="1"/>
    <col min="5131" max="5373" width="9.140625" style="2"/>
    <col min="5374" max="5374" width="50.7109375" style="2" customWidth="1"/>
    <col min="5375" max="5375" width="10" style="2" customWidth="1"/>
    <col min="5376" max="5376" width="8" style="2" customWidth="1"/>
    <col min="5377" max="5377" width="9.85546875" style="2" customWidth="1"/>
    <col min="5378" max="5378" width="12.28515625" style="2" customWidth="1"/>
    <col min="5379" max="5379" width="0" style="2" hidden="1" customWidth="1"/>
    <col min="5380" max="5380" width="14.42578125" style="2" customWidth="1"/>
    <col min="5381" max="5381" width="0" style="2" hidden="1" customWidth="1"/>
    <col min="5382" max="5382" width="6.28515625" style="2" customWidth="1"/>
    <col min="5383" max="5383" width="6" style="2" customWidth="1"/>
    <col min="5384" max="5384" width="7.28515625" style="2" customWidth="1"/>
    <col min="5385" max="5385" width="6.28515625" style="2" customWidth="1"/>
    <col min="5386" max="5386" width="12.5703125" style="2" customWidth="1"/>
    <col min="5387" max="5629" width="9.140625" style="2"/>
    <col min="5630" max="5630" width="50.7109375" style="2" customWidth="1"/>
    <col min="5631" max="5631" width="10" style="2" customWidth="1"/>
    <col min="5632" max="5632" width="8" style="2" customWidth="1"/>
    <col min="5633" max="5633" width="9.85546875" style="2" customWidth="1"/>
    <col min="5634" max="5634" width="12.28515625" style="2" customWidth="1"/>
    <col min="5635" max="5635" width="0" style="2" hidden="1" customWidth="1"/>
    <col min="5636" max="5636" width="14.42578125" style="2" customWidth="1"/>
    <col min="5637" max="5637" width="0" style="2" hidden="1" customWidth="1"/>
    <col min="5638" max="5638" width="6.28515625" style="2" customWidth="1"/>
    <col min="5639" max="5639" width="6" style="2" customWidth="1"/>
    <col min="5640" max="5640" width="7.28515625" style="2" customWidth="1"/>
    <col min="5641" max="5641" width="6.28515625" style="2" customWidth="1"/>
    <col min="5642" max="5642" width="12.5703125" style="2" customWidth="1"/>
    <col min="5643" max="5885" width="9.140625" style="2"/>
    <col min="5886" max="5886" width="50.7109375" style="2" customWidth="1"/>
    <col min="5887" max="5887" width="10" style="2" customWidth="1"/>
    <col min="5888" max="5888" width="8" style="2" customWidth="1"/>
    <col min="5889" max="5889" width="9.85546875" style="2" customWidth="1"/>
    <col min="5890" max="5890" width="12.28515625" style="2" customWidth="1"/>
    <col min="5891" max="5891" width="0" style="2" hidden="1" customWidth="1"/>
    <col min="5892" max="5892" width="14.42578125" style="2" customWidth="1"/>
    <col min="5893" max="5893" width="0" style="2" hidden="1" customWidth="1"/>
    <col min="5894" max="5894" width="6.28515625" style="2" customWidth="1"/>
    <col min="5895" max="5895" width="6" style="2" customWidth="1"/>
    <col min="5896" max="5896" width="7.28515625" style="2" customWidth="1"/>
    <col min="5897" max="5897" width="6.28515625" style="2" customWidth="1"/>
    <col min="5898" max="5898" width="12.5703125" style="2" customWidth="1"/>
    <col min="5899" max="6141" width="9.140625" style="2"/>
    <col min="6142" max="6142" width="50.7109375" style="2" customWidth="1"/>
    <col min="6143" max="6143" width="10" style="2" customWidth="1"/>
    <col min="6144" max="6144" width="8" style="2" customWidth="1"/>
    <col min="6145" max="6145" width="9.85546875" style="2" customWidth="1"/>
    <col min="6146" max="6146" width="12.28515625" style="2" customWidth="1"/>
    <col min="6147" max="6147" width="0" style="2" hidden="1" customWidth="1"/>
    <col min="6148" max="6148" width="14.42578125" style="2" customWidth="1"/>
    <col min="6149" max="6149" width="0" style="2" hidden="1" customWidth="1"/>
    <col min="6150" max="6150" width="6.28515625" style="2" customWidth="1"/>
    <col min="6151" max="6151" width="6" style="2" customWidth="1"/>
    <col min="6152" max="6152" width="7.28515625" style="2" customWidth="1"/>
    <col min="6153" max="6153" width="6.28515625" style="2" customWidth="1"/>
    <col min="6154" max="6154" width="12.5703125" style="2" customWidth="1"/>
    <col min="6155" max="6397" width="9.140625" style="2"/>
    <col min="6398" max="6398" width="50.7109375" style="2" customWidth="1"/>
    <col min="6399" max="6399" width="10" style="2" customWidth="1"/>
    <col min="6400" max="6400" width="8" style="2" customWidth="1"/>
    <col min="6401" max="6401" width="9.85546875" style="2" customWidth="1"/>
    <col min="6402" max="6402" width="12.28515625" style="2" customWidth="1"/>
    <col min="6403" max="6403" width="0" style="2" hidden="1" customWidth="1"/>
    <col min="6404" max="6404" width="14.42578125" style="2" customWidth="1"/>
    <col min="6405" max="6405" width="0" style="2" hidden="1" customWidth="1"/>
    <col min="6406" max="6406" width="6.28515625" style="2" customWidth="1"/>
    <col min="6407" max="6407" width="6" style="2" customWidth="1"/>
    <col min="6408" max="6408" width="7.28515625" style="2" customWidth="1"/>
    <col min="6409" max="6409" width="6.28515625" style="2" customWidth="1"/>
    <col min="6410" max="6410" width="12.5703125" style="2" customWidth="1"/>
    <col min="6411" max="6653" width="9.140625" style="2"/>
    <col min="6654" max="6654" width="50.7109375" style="2" customWidth="1"/>
    <col min="6655" max="6655" width="10" style="2" customWidth="1"/>
    <col min="6656" max="6656" width="8" style="2" customWidth="1"/>
    <col min="6657" max="6657" width="9.85546875" style="2" customWidth="1"/>
    <col min="6658" max="6658" width="12.28515625" style="2" customWidth="1"/>
    <col min="6659" max="6659" width="0" style="2" hidden="1" customWidth="1"/>
    <col min="6660" max="6660" width="14.42578125" style="2" customWidth="1"/>
    <col min="6661" max="6661" width="0" style="2" hidden="1" customWidth="1"/>
    <col min="6662" max="6662" width="6.28515625" style="2" customWidth="1"/>
    <col min="6663" max="6663" width="6" style="2" customWidth="1"/>
    <col min="6664" max="6664" width="7.28515625" style="2" customWidth="1"/>
    <col min="6665" max="6665" width="6.28515625" style="2" customWidth="1"/>
    <col min="6666" max="6666" width="12.5703125" style="2" customWidth="1"/>
    <col min="6667" max="6909" width="9.140625" style="2"/>
    <col min="6910" max="6910" width="50.7109375" style="2" customWidth="1"/>
    <col min="6911" max="6911" width="10" style="2" customWidth="1"/>
    <col min="6912" max="6912" width="8" style="2" customWidth="1"/>
    <col min="6913" max="6913" width="9.85546875" style="2" customWidth="1"/>
    <col min="6914" max="6914" width="12.28515625" style="2" customWidth="1"/>
    <col min="6915" max="6915" width="0" style="2" hidden="1" customWidth="1"/>
    <col min="6916" max="6916" width="14.42578125" style="2" customWidth="1"/>
    <col min="6917" max="6917" width="0" style="2" hidden="1" customWidth="1"/>
    <col min="6918" max="6918" width="6.28515625" style="2" customWidth="1"/>
    <col min="6919" max="6919" width="6" style="2" customWidth="1"/>
    <col min="6920" max="6920" width="7.28515625" style="2" customWidth="1"/>
    <col min="6921" max="6921" width="6.28515625" style="2" customWidth="1"/>
    <col min="6922" max="6922" width="12.5703125" style="2" customWidth="1"/>
    <col min="6923" max="7165" width="9.140625" style="2"/>
    <col min="7166" max="7166" width="50.7109375" style="2" customWidth="1"/>
    <col min="7167" max="7167" width="10" style="2" customWidth="1"/>
    <col min="7168" max="7168" width="8" style="2" customWidth="1"/>
    <col min="7169" max="7169" width="9.85546875" style="2" customWidth="1"/>
    <col min="7170" max="7170" width="12.28515625" style="2" customWidth="1"/>
    <col min="7171" max="7171" width="0" style="2" hidden="1" customWidth="1"/>
    <col min="7172" max="7172" width="14.42578125" style="2" customWidth="1"/>
    <col min="7173" max="7173" width="0" style="2" hidden="1" customWidth="1"/>
    <col min="7174" max="7174" width="6.28515625" style="2" customWidth="1"/>
    <col min="7175" max="7175" width="6" style="2" customWidth="1"/>
    <col min="7176" max="7176" width="7.28515625" style="2" customWidth="1"/>
    <col min="7177" max="7177" width="6.28515625" style="2" customWidth="1"/>
    <col min="7178" max="7178" width="12.5703125" style="2" customWidth="1"/>
    <col min="7179" max="7421" width="9.140625" style="2"/>
    <col min="7422" max="7422" width="50.7109375" style="2" customWidth="1"/>
    <col min="7423" max="7423" width="10" style="2" customWidth="1"/>
    <col min="7424" max="7424" width="8" style="2" customWidth="1"/>
    <col min="7425" max="7425" width="9.85546875" style="2" customWidth="1"/>
    <col min="7426" max="7426" width="12.28515625" style="2" customWidth="1"/>
    <col min="7427" max="7427" width="0" style="2" hidden="1" customWidth="1"/>
    <col min="7428" max="7428" width="14.42578125" style="2" customWidth="1"/>
    <col min="7429" max="7429" width="0" style="2" hidden="1" customWidth="1"/>
    <col min="7430" max="7430" width="6.28515625" style="2" customWidth="1"/>
    <col min="7431" max="7431" width="6" style="2" customWidth="1"/>
    <col min="7432" max="7432" width="7.28515625" style="2" customWidth="1"/>
    <col min="7433" max="7433" width="6.28515625" style="2" customWidth="1"/>
    <col min="7434" max="7434" width="12.5703125" style="2" customWidth="1"/>
    <col min="7435" max="7677" width="9.140625" style="2"/>
    <col min="7678" max="7678" width="50.7109375" style="2" customWidth="1"/>
    <col min="7679" max="7679" width="10" style="2" customWidth="1"/>
    <col min="7680" max="7680" width="8" style="2" customWidth="1"/>
    <col min="7681" max="7681" width="9.85546875" style="2" customWidth="1"/>
    <col min="7682" max="7682" width="12.28515625" style="2" customWidth="1"/>
    <col min="7683" max="7683" width="0" style="2" hidden="1" customWidth="1"/>
    <col min="7684" max="7684" width="14.42578125" style="2" customWidth="1"/>
    <col min="7685" max="7685" width="0" style="2" hidden="1" customWidth="1"/>
    <col min="7686" max="7686" width="6.28515625" style="2" customWidth="1"/>
    <col min="7687" max="7687" width="6" style="2" customWidth="1"/>
    <col min="7688" max="7688" width="7.28515625" style="2" customWidth="1"/>
    <col min="7689" max="7689" width="6.28515625" style="2" customWidth="1"/>
    <col min="7690" max="7690" width="12.5703125" style="2" customWidth="1"/>
    <col min="7691" max="7933" width="9.140625" style="2"/>
    <col min="7934" max="7934" width="50.7109375" style="2" customWidth="1"/>
    <col min="7935" max="7935" width="10" style="2" customWidth="1"/>
    <col min="7936" max="7936" width="8" style="2" customWidth="1"/>
    <col min="7937" max="7937" width="9.85546875" style="2" customWidth="1"/>
    <col min="7938" max="7938" width="12.28515625" style="2" customWidth="1"/>
    <col min="7939" max="7939" width="0" style="2" hidden="1" customWidth="1"/>
    <col min="7940" max="7940" width="14.42578125" style="2" customWidth="1"/>
    <col min="7941" max="7941" width="0" style="2" hidden="1" customWidth="1"/>
    <col min="7942" max="7942" width="6.28515625" style="2" customWidth="1"/>
    <col min="7943" max="7943" width="6" style="2" customWidth="1"/>
    <col min="7944" max="7944" width="7.28515625" style="2" customWidth="1"/>
    <col min="7945" max="7945" width="6.28515625" style="2" customWidth="1"/>
    <col min="7946" max="7946" width="12.5703125" style="2" customWidth="1"/>
    <col min="7947" max="8189" width="9.140625" style="2"/>
    <col min="8190" max="8190" width="50.7109375" style="2" customWidth="1"/>
    <col min="8191" max="8191" width="10" style="2" customWidth="1"/>
    <col min="8192" max="8192" width="8" style="2" customWidth="1"/>
    <col min="8193" max="8193" width="9.85546875" style="2" customWidth="1"/>
    <col min="8194" max="8194" width="12.28515625" style="2" customWidth="1"/>
    <col min="8195" max="8195" width="0" style="2" hidden="1" customWidth="1"/>
    <col min="8196" max="8196" width="14.42578125" style="2" customWidth="1"/>
    <col min="8197" max="8197" width="0" style="2" hidden="1" customWidth="1"/>
    <col min="8198" max="8198" width="6.28515625" style="2" customWidth="1"/>
    <col min="8199" max="8199" width="6" style="2" customWidth="1"/>
    <col min="8200" max="8200" width="7.28515625" style="2" customWidth="1"/>
    <col min="8201" max="8201" width="6.28515625" style="2" customWidth="1"/>
    <col min="8202" max="8202" width="12.5703125" style="2" customWidth="1"/>
    <col min="8203" max="8445" width="9.140625" style="2"/>
    <col min="8446" max="8446" width="50.7109375" style="2" customWidth="1"/>
    <col min="8447" max="8447" width="10" style="2" customWidth="1"/>
    <col min="8448" max="8448" width="8" style="2" customWidth="1"/>
    <col min="8449" max="8449" width="9.85546875" style="2" customWidth="1"/>
    <col min="8450" max="8450" width="12.28515625" style="2" customWidth="1"/>
    <col min="8451" max="8451" width="0" style="2" hidden="1" customWidth="1"/>
    <col min="8452" max="8452" width="14.42578125" style="2" customWidth="1"/>
    <col min="8453" max="8453" width="0" style="2" hidden="1" customWidth="1"/>
    <col min="8454" max="8454" width="6.28515625" style="2" customWidth="1"/>
    <col min="8455" max="8455" width="6" style="2" customWidth="1"/>
    <col min="8456" max="8456" width="7.28515625" style="2" customWidth="1"/>
    <col min="8457" max="8457" width="6.28515625" style="2" customWidth="1"/>
    <col min="8458" max="8458" width="12.5703125" style="2" customWidth="1"/>
    <col min="8459" max="8701" width="9.140625" style="2"/>
    <col min="8702" max="8702" width="50.7109375" style="2" customWidth="1"/>
    <col min="8703" max="8703" width="10" style="2" customWidth="1"/>
    <col min="8704" max="8704" width="8" style="2" customWidth="1"/>
    <col min="8705" max="8705" width="9.85546875" style="2" customWidth="1"/>
    <col min="8706" max="8706" width="12.28515625" style="2" customWidth="1"/>
    <col min="8707" max="8707" width="0" style="2" hidden="1" customWidth="1"/>
    <col min="8708" max="8708" width="14.42578125" style="2" customWidth="1"/>
    <col min="8709" max="8709" width="0" style="2" hidden="1" customWidth="1"/>
    <col min="8710" max="8710" width="6.28515625" style="2" customWidth="1"/>
    <col min="8711" max="8711" width="6" style="2" customWidth="1"/>
    <col min="8712" max="8712" width="7.28515625" style="2" customWidth="1"/>
    <col min="8713" max="8713" width="6.28515625" style="2" customWidth="1"/>
    <col min="8714" max="8714" width="12.5703125" style="2" customWidth="1"/>
    <col min="8715" max="8957" width="9.140625" style="2"/>
    <col min="8958" max="8958" width="50.7109375" style="2" customWidth="1"/>
    <col min="8959" max="8959" width="10" style="2" customWidth="1"/>
    <col min="8960" max="8960" width="8" style="2" customWidth="1"/>
    <col min="8961" max="8961" width="9.85546875" style="2" customWidth="1"/>
    <col min="8962" max="8962" width="12.28515625" style="2" customWidth="1"/>
    <col min="8963" max="8963" width="0" style="2" hidden="1" customWidth="1"/>
    <col min="8964" max="8964" width="14.42578125" style="2" customWidth="1"/>
    <col min="8965" max="8965" width="0" style="2" hidden="1" customWidth="1"/>
    <col min="8966" max="8966" width="6.28515625" style="2" customWidth="1"/>
    <col min="8967" max="8967" width="6" style="2" customWidth="1"/>
    <col min="8968" max="8968" width="7.28515625" style="2" customWidth="1"/>
    <col min="8969" max="8969" width="6.28515625" style="2" customWidth="1"/>
    <col min="8970" max="8970" width="12.5703125" style="2" customWidth="1"/>
    <col min="8971" max="9213" width="9.140625" style="2"/>
    <col min="9214" max="9214" width="50.7109375" style="2" customWidth="1"/>
    <col min="9215" max="9215" width="10" style="2" customWidth="1"/>
    <col min="9216" max="9216" width="8" style="2" customWidth="1"/>
    <col min="9217" max="9217" width="9.85546875" style="2" customWidth="1"/>
    <col min="9218" max="9218" width="12.28515625" style="2" customWidth="1"/>
    <col min="9219" max="9219" width="0" style="2" hidden="1" customWidth="1"/>
    <col min="9220" max="9220" width="14.42578125" style="2" customWidth="1"/>
    <col min="9221" max="9221" width="0" style="2" hidden="1" customWidth="1"/>
    <col min="9222" max="9222" width="6.28515625" style="2" customWidth="1"/>
    <col min="9223" max="9223" width="6" style="2" customWidth="1"/>
    <col min="9224" max="9224" width="7.28515625" style="2" customWidth="1"/>
    <col min="9225" max="9225" width="6.28515625" style="2" customWidth="1"/>
    <col min="9226" max="9226" width="12.5703125" style="2" customWidth="1"/>
    <col min="9227" max="9469" width="9.140625" style="2"/>
    <col min="9470" max="9470" width="50.7109375" style="2" customWidth="1"/>
    <col min="9471" max="9471" width="10" style="2" customWidth="1"/>
    <col min="9472" max="9472" width="8" style="2" customWidth="1"/>
    <col min="9473" max="9473" width="9.85546875" style="2" customWidth="1"/>
    <col min="9474" max="9474" width="12.28515625" style="2" customWidth="1"/>
    <col min="9475" max="9475" width="0" style="2" hidden="1" customWidth="1"/>
    <col min="9476" max="9476" width="14.42578125" style="2" customWidth="1"/>
    <col min="9477" max="9477" width="0" style="2" hidden="1" customWidth="1"/>
    <col min="9478" max="9478" width="6.28515625" style="2" customWidth="1"/>
    <col min="9479" max="9479" width="6" style="2" customWidth="1"/>
    <col min="9480" max="9480" width="7.28515625" style="2" customWidth="1"/>
    <col min="9481" max="9481" width="6.28515625" style="2" customWidth="1"/>
    <col min="9482" max="9482" width="12.5703125" style="2" customWidth="1"/>
    <col min="9483" max="9725" width="9.140625" style="2"/>
    <col min="9726" max="9726" width="50.7109375" style="2" customWidth="1"/>
    <col min="9727" max="9727" width="10" style="2" customWidth="1"/>
    <col min="9728" max="9728" width="8" style="2" customWidth="1"/>
    <col min="9729" max="9729" width="9.85546875" style="2" customWidth="1"/>
    <col min="9730" max="9730" width="12.28515625" style="2" customWidth="1"/>
    <col min="9731" max="9731" width="0" style="2" hidden="1" customWidth="1"/>
    <col min="9732" max="9732" width="14.42578125" style="2" customWidth="1"/>
    <col min="9733" max="9733" width="0" style="2" hidden="1" customWidth="1"/>
    <col min="9734" max="9734" width="6.28515625" style="2" customWidth="1"/>
    <col min="9735" max="9735" width="6" style="2" customWidth="1"/>
    <col min="9736" max="9736" width="7.28515625" style="2" customWidth="1"/>
    <col min="9737" max="9737" width="6.28515625" style="2" customWidth="1"/>
    <col min="9738" max="9738" width="12.5703125" style="2" customWidth="1"/>
    <col min="9739" max="9981" width="9.140625" style="2"/>
    <col min="9982" max="9982" width="50.7109375" style="2" customWidth="1"/>
    <col min="9983" max="9983" width="10" style="2" customWidth="1"/>
    <col min="9984" max="9984" width="8" style="2" customWidth="1"/>
    <col min="9985" max="9985" width="9.85546875" style="2" customWidth="1"/>
    <col min="9986" max="9986" width="12.28515625" style="2" customWidth="1"/>
    <col min="9987" max="9987" width="0" style="2" hidden="1" customWidth="1"/>
    <col min="9988" max="9988" width="14.42578125" style="2" customWidth="1"/>
    <col min="9989" max="9989" width="0" style="2" hidden="1" customWidth="1"/>
    <col min="9990" max="9990" width="6.28515625" style="2" customWidth="1"/>
    <col min="9991" max="9991" width="6" style="2" customWidth="1"/>
    <col min="9992" max="9992" width="7.28515625" style="2" customWidth="1"/>
    <col min="9993" max="9993" width="6.28515625" style="2" customWidth="1"/>
    <col min="9994" max="9994" width="12.5703125" style="2" customWidth="1"/>
    <col min="9995" max="10237" width="9.140625" style="2"/>
    <col min="10238" max="10238" width="50.7109375" style="2" customWidth="1"/>
    <col min="10239" max="10239" width="10" style="2" customWidth="1"/>
    <col min="10240" max="10240" width="8" style="2" customWidth="1"/>
    <col min="10241" max="10241" width="9.85546875" style="2" customWidth="1"/>
    <col min="10242" max="10242" width="12.28515625" style="2" customWidth="1"/>
    <col min="10243" max="10243" width="0" style="2" hidden="1" customWidth="1"/>
    <col min="10244" max="10244" width="14.42578125" style="2" customWidth="1"/>
    <col min="10245" max="10245" width="0" style="2" hidden="1" customWidth="1"/>
    <col min="10246" max="10246" width="6.28515625" style="2" customWidth="1"/>
    <col min="10247" max="10247" width="6" style="2" customWidth="1"/>
    <col min="10248" max="10248" width="7.28515625" style="2" customWidth="1"/>
    <col min="10249" max="10249" width="6.28515625" style="2" customWidth="1"/>
    <col min="10250" max="10250" width="12.5703125" style="2" customWidth="1"/>
    <col min="10251" max="10493" width="9.140625" style="2"/>
    <col min="10494" max="10494" width="50.7109375" style="2" customWidth="1"/>
    <col min="10495" max="10495" width="10" style="2" customWidth="1"/>
    <col min="10496" max="10496" width="8" style="2" customWidth="1"/>
    <col min="10497" max="10497" width="9.85546875" style="2" customWidth="1"/>
    <col min="10498" max="10498" width="12.28515625" style="2" customWidth="1"/>
    <col min="10499" max="10499" width="0" style="2" hidden="1" customWidth="1"/>
    <col min="10500" max="10500" width="14.42578125" style="2" customWidth="1"/>
    <col min="10501" max="10501" width="0" style="2" hidden="1" customWidth="1"/>
    <col min="10502" max="10502" width="6.28515625" style="2" customWidth="1"/>
    <col min="10503" max="10503" width="6" style="2" customWidth="1"/>
    <col min="10504" max="10504" width="7.28515625" style="2" customWidth="1"/>
    <col min="10505" max="10505" width="6.28515625" style="2" customWidth="1"/>
    <col min="10506" max="10506" width="12.5703125" style="2" customWidth="1"/>
    <col min="10507" max="10749" width="9.140625" style="2"/>
    <col min="10750" max="10750" width="50.7109375" style="2" customWidth="1"/>
    <col min="10751" max="10751" width="10" style="2" customWidth="1"/>
    <col min="10752" max="10752" width="8" style="2" customWidth="1"/>
    <col min="10753" max="10753" width="9.85546875" style="2" customWidth="1"/>
    <col min="10754" max="10754" width="12.28515625" style="2" customWidth="1"/>
    <col min="10755" max="10755" width="0" style="2" hidden="1" customWidth="1"/>
    <col min="10756" max="10756" width="14.42578125" style="2" customWidth="1"/>
    <col min="10757" max="10757" width="0" style="2" hidden="1" customWidth="1"/>
    <col min="10758" max="10758" width="6.28515625" style="2" customWidth="1"/>
    <col min="10759" max="10759" width="6" style="2" customWidth="1"/>
    <col min="10760" max="10760" width="7.28515625" style="2" customWidth="1"/>
    <col min="10761" max="10761" width="6.28515625" style="2" customWidth="1"/>
    <col min="10762" max="10762" width="12.5703125" style="2" customWidth="1"/>
    <col min="10763" max="11005" width="9.140625" style="2"/>
    <col min="11006" max="11006" width="50.7109375" style="2" customWidth="1"/>
    <col min="11007" max="11007" width="10" style="2" customWidth="1"/>
    <col min="11008" max="11008" width="8" style="2" customWidth="1"/>
    <col min="11009" max="11009" width="9.85546875" style="2" customWidth="1"/>
    <col min="11010" max="11010" width="12.28515625" style="2" customWidth="1"/>
    <col min="11011" max="11011" width="0" style="2" hidden="1" customWidth="1"/>
    <col min="11012" max="11012" width="14.42578125" style="2" customWidth="1"/>
    <col min="11013" max="11013" width="0" style="2" hidden="1" customWidth="1"/>
    <col min="11014" max="11014" width="6.28515625" style="2" customWidth="1"/>
    <col min="11015" max="11015" width="6" style="2" customWidth="1"/>
    <col min="11016" max="11016" width="7.28515625" style="2" customWidth="1"/>
    <col min="11017" max="11017" width="6.28515625" style="2" customWidth="1"/>
    <col min="11018" max="11018" width="12.5703125" style="2" customWidth="1"/>
    <col min="11019" max="11261" width="9.140625" style="2"/>
    <col min="11262" max="11262" width="50.7109375" style="2" customWidth="1"/>
    <col min="11263" max="11263" width="10" style="2" customWidth="1"/>
    <col min="11264" max="11264" width="8" style="2" customWidth="1"/>
    <col min="11265" max="11265" width="9.85546875" style="2" customWidth="1"/>
    <col min="11266" max="11266" width="12.28515625" style="2" customWidth="1"/>
    <col min="11267" max="11267" width="0" style="2" hidden="1" customWidth="1"/>
    <col min="11268" max="11268" width="14.42578125" style="2" customWidth="1"/>
    <col min="11269" max="11269" width="0" style="2" hidden="1" customWidth="1"/>
    <col min="11270" max="11270" width="6.28515625" style="2" customWidth="1"/>
    <col min="11271" max="11271" width="6" style="2" customWidth="1"/>
    <col min="11272" max="11272" width="7.28515625" style="2" customWidth="1"/>
    <col min="11273" max="11273" width="6.28515625" style="2" customWidth="1"/>
    <col min="11274" max="11274" width="12.5703125" style="2" customWidth="1"/>
    <col min="11275" max="11517" width="9.140625" style="2"/>
    <col min="11518" max="11518" width="50.7109375" style="2" customWidth="1"/>
    <col min="11519" max="11519" width="10" style="2" customWidth="1"/>
    <col min="11520" max="11520" width="8" style="2" customWidth="1"/>
    <col min="11521" max="11521" width="9.85546875" style="2" customWidth="1"/>
    <col min="11522" max="11522" width="12.28515625" style="2" customWidth="1"/>
    <col min="11523" max="11523" width="0" style="2" hidden="1" customWidth="1"/>
    <col min="11524" max="11524" width="14.42578125" style="2" customWidth="1"/>
    <col min="11525" max="11525" width="0" style="2" hidden="1" customWidth="1"/>
    <col min="11526" max="11526" width="6.28515625" style="2" customWidth="1"/>
    <col min="11527" max="11527" width="6" style="2" customWidth="1"/>
    <col min="11528" max="11528" width="7.28515625" style="2" customWidth="1"/>
    <col min="11529" max="11529" width="6.28515625" style="2" customWidth="1"/>
    <col min="11530" max="11530" width="12.5703125" style="2" customWidth="1"/>
    <col min="11531" max="11773" width="9.140625" style="2"/>
    <col min="11774" max="11774" width="50.7109375" style="2" customWidth="1"/>
    <col min="11775" max="11775" width="10" style="2" customWidth="1"/>
    <col min="11776" max="11776" width="8" style="2" customWidth="1"/>
    <col min="11777" max="11777" width="9.85546875" style="2" customWidth="1"/>
    <col min="11778" max="11778" width="12.28515625" style="2" customWidth="1"/>
    <col min="11779" max="11779" width="0" style="2" hidden="1" customWidth="1"/>
    <col min="11780" max="11780" width="14.42578125" style="2" customWidth="1"/>
    <col min="11781" max="11781" width="0" style="2" hidden="1" customWidth="1"/>
    <col min="11782" max="11782" width="6.28515625" style="2" customWidth="1"/>
    <col min="11783" max="11783" width="6" style="2" customWidth="1"/>
    <col min="11784" max="11784" width="7.28515625" style="2" customWidth="1"/>
    <col min="11785" max="11785" width="6.28515625" style="2" customWidth="1"/>
    <col min="11786" max="11786" width="12.5703125" style="2" customWidth="1"/>
    <col min="11787" max="12029" width="9.140625" style="2"/>
    <col min="12030" max="12030" width="50.7109375" style="2" customWidth="1"/>
    <col min="12031" max="12031" width="10" style="2" customWidth="1"/>
    <col min="12032" max="12032" width="8" style="2" customWidth="1"/>
    <col min="12033" max="12033" width="9.85546875" style="2" customWidth="1"/>
    <col min="12034" max="12034" width="12.28515625" style="2" customWidth="1"/>
    <col min="12035" max="12035" width="0" style="2" hidden="1" customWidth="1"/>
    <col min="12036" max="12036" width="14.42578125" style="2" customWidth="1"/>
    <col min="12037" max="12037" width="0" style="2" hidden="1" customWidth="1"/>
    <col min="12038" max="12038" width="6.28515625" style="2" customWidth="1"/>
    <col min="12039" max="12039" width="6" style="2" customWidth="1"/>
    <col min="12040" max="12040" width="7.28515625" style="2" customWidth="1"/>
    <col min="12041" max="12041" width="6.28515625" style="2" customWidth="1"/>
    <col min="12042" max="12042" width="12.5703125" style="2" customWidth="1"/>
    <col min="12043" max="12285" width="9.140625" style="2"/>
    <col min="12286" max="12286" width="50.7109375" style="2" customWidth="1"/>
    <col min="12287" max="12287" width="10" style="2" customWidth="1"/>
    <col min="12288" max="12288" width="8" style="2" customWidth="1"/>
    <col min="12289" max="12289" width="9.85546875" style="2" customWidth="1"/>
    <col min="12290" max="12290" width="12.28515625" style="2" customWidth="1"/>
    <col min="12291" max="12291" width="0" style="2" hidden="1" customWidth="1"/>
    <col min="12292" max="12292" width="14.42578125" style="2" customWidth="1"/>
    <col min="12293" max="12293" width="0" style="2" hidden="1" customWidth="1"/>
    <col min="12294" max="12294" width="6.28515625" style="2" customWidth="1"/>
    <col min="12295" max="12295" width="6" style="2" customWidth="1"/>
    <col min="12296" max="12296" width="7.28515625" style="2" customWidth="1"/>
    <col min="12297" max="12297" width="6.28515625" style="2" customWidth="1"/>
    <col min="12298" max="12298" width="12.5703125" style="2" customWidth="1"/>
    <col min="12299" max="12541" width="9.140625" style="2"/>
    <col min="12542" max="12542" width="50.7109375" style="2" customWidth="1"/>
    <col min="12543" max="12543" width="10" style="2" customWidth="1"/>
    <col min="12544" max="12544" width="8" style="2" customWidth="1"/>
    <col min="12545" max="12545" width="9.85546875" style="2" customWidth="1"/>
    <col min="12546" max="12546" width="12.28515625" style="2" customWidth="1"/>
    <col min="12547" max="12547" width="0" style="2" hidden="1" customWidth="1"/>
    <col min="12548" max="12548" width="14.42578125" style="2" customWidth="1"/>
    <col min="12549" max="12549" width="0" style="2" hidden="1" customWidth="1"/>
    <col min="12550" max="12550" width="6.28515625" style="2" customWidth="1"/>
    <col min="12551" max="12551" width="6" style="2" customWidth="1"/>
    <col min="12552" max="12552" width="7.28515625" style="2" customWidth="1"/>
    <col min="12553" max="12553" width="6.28515625" style="2" customWidth="1"/>
    <col min="12554" max="12554" width="12.5703125" style="2" customWidth="1"/>
    <col min="12555" max="12797" width="9.140625" style="2"/>
    <col min="12798" max="12798" width="50.7109375" style="2" customWidth="1"/>
    <col min="12799" max="12799" width="10" style="2" customWidth="1"/>
    <col min="12800" max="12800" width="8" style="2" customWidth="1"/>
    <col min="12801" max="12801" width="9.85546875" style="2" customWidth="1"/>
    <col min="12802" max="12802" width="12.28515625" style="2" customWidth="1"/>
    <col min="12803" max="12803" width="0" style="2" hidden="1" customWidth="1"/>
    <col min="12804" max="12804" width="14.42578125" style="2" customWidth="1"/>
    <col min="12805" max="12805" width="0" style="2" hidden="1" customWidth="1"/>
    <col min="12806" max="12806" width="6.28515625" style="2" customWidth="1"/>
    <col min="12807" max="12807" width="6" style="2" customWidth="1"/>
    <col min="12808" max="12808" width="7.28515625" style="2" customWidth="1"/>
    <col min="12809" max="12809" width="6.28515625" style="2" customWidth="1"/>
    <col min="12810" max="12810" width="12.5703125" style="2" customWidth="1"/>
    <col min="12811" max="13053" width="9.140625" style="2"/>
    <col min="13054" max="13054" width="50.7109375" style="2" customWidth="1"/>
    <col min="13055" max="13055" width="10" style="2" customWidth="1"/>
    <col min="13056" max="13056" width="8" style="2" customWidth="1"/>
    <col min="13057" max="13057" width="9.85546875" style="2" customWidth="1"/>
    <col min="13058" max="13058" width="12.28515625" style="2" customWidth="1"/>
    <col min="13059" max="13059" width="0" style="2" hidden="1" customWidth="1"/>
    <col min="13060" max="13060" width="14.42578125" style="2" customWidth="1"/>
    <col min="13061" max="13061" width="0" style="2" hidden="1" customWidth="1"/>
    <col min="13062" max="13062" width="6.28515625" style="2" customWidth="1"/>
    <col min="13063" max="13063" width="6" style="2" customWidth="1"/>
    <col min="13064" max="13064" width="7.28515625" style="2" customWidth="1"/>
    <col min="13065" max="13065" width="6.28515625" style="2" customWidth="1"/>
    <col min="13066" max="13066" width="12.5703125" style="2" customWidth="1"/>
    <col min="13067" max="13309" width="9.140625" style="2"/>
    <col min="13310" max="13310" width="50.7109375" style="2" customWidth="1"/>
    <col min="13311" max="13311" width="10" style="2" customWidth="1"/>
    <col min="13312" max="13312" width="8" style="2" customWidth="1"/>
    <col min="13313" max="13313" width="9.85546875" style="2" customWidth="1"/>
    <col min="13314" max="13314" width="12.28515625" style="2" customWidth="1"/>
    <col min="13315" max="13315" width="0" style="2" hidden="1" customWidth="1"/>
    <col min="13316" max="13316" width="14.42578125" style="2" customWidth="1"/>
    <col min="13317" max="13317" width="0" style="2" hidden="1" customWidth="1"/>
    <col min="13318" max="13318" width="6.28515625" style="2" customWidth="1"/>
    <col min="13319" max="13319" width="6" style="2" customWidth="1"/>
    <col min="13320" max="13320" width="7.28515625" style="2" customWidth="1"/>
    <col min="13321" max="13321" width="6.28515625" style="2" customWidth="1"/>
    <col min="13322" max="13322" width="12.5703125" style="2" customWidth="1"/>
    <col min="13323" max="13565" width="9.140625" style="2"/>
    <col min="13566" max="13566" width="50.7109375" style="2" customWidth="1"/>
    <col min="13567" max="13567" width="10" style="2" customWidth="1"/>
    <col min="13568" max="13568" width="8" style="2" customWidth="1"/>
    <col min="13569" max="13569" width="9.85546875" style="2" customWidth="1"/>
    <col min="13570" max="13570" width="12.28515625" style="2" customWidth="1"/>
    <col min="13571" max="13571" width="0" style="2" hidden="1" customWidth="1"/>
    <col min="13572" max="13572" width="14.42578125" style="2" customWidth="1"/>
    <col min="13573" max="13573" width="0" style="2" hidden="1" customWidth="1"/>
    <col min="13574" max="13574" width="6.28515625" style="2" customWidth="1"/>
    <col min="13575" max="13575" width="6" style="2" customWidth="1"/>
    <col min="13576" max="13576" width="7.28515625" style="2" customWidth="1"/>
    <col min="13577" max="13577" width="6.28515625" style="2" customWidth="1"/>
    <col min="13578" max="13578" width="12.5703125" style="2" customWidth="1"/>
    <col min="13579" max="13821" width="9.140625" style="2"/>
    <col min="13822" max="13822" width="50.7109375" style="2" customWidth="1"/>
    <col min="13823" max="13823" width="10" style="2" customWidth="1"/>
    <col min="13824" max="13824" width="8" style="2" customWidth="1"/>
    <col min="13825" max="13825" width="9.85546875" style="2" customWidth="1"/>
    <col min="13826" max="13826" width="12.28515625" style="2" customWidth="1"/>
    <col min="13827" max="13827" width="0" style="2" hidden="1" customWidth="1"/>
    <col min="13828" max="13828" width="14.42578125" style="2" customWidth="1"/>
    <col min="13829" max="13829" width="0" style="2" hidden="1" customWidth="1"/>
    <col min="13830" max="13830" width="6.28515625" style="2" customWidth="1"/>
    <col min="13831" max="13831" width="6" style="2" customWidth="1"/>
    <col min="13832" max="13832" width="7.28515625" style="2" customWidth="1"/>
    <col min="13833" max="13833" width="6.28515625" style="2" customWidth="1"/>
    <col min="13834" max="13834" width="12.5703125" style="2" customWidth="1"/>
    <col min="13835" max="14077" width="9.140625" style="2"/>
    <col min="14078" max="14078" width="50.7109375" style="2" customWidth="1"/>
    <col min="14079" max="14079" width="10" style="2" customWidth="1"/>
    <col min="14080" max="14080" width="8" style="2" customWidth="1"/>
    <col min="14081" max="14081" width="9.85546875" style="2" customWidth="1"/>
    <col min="14082" max="14082" width="12.28515625" style="2" customWidth="1"/>
    <col min="14083" max="14083" width="0" style="2" hidden="1" customWidth="1"/>
    <col min="14084" max="14084" width="14.42578125" style="2" customWidth="1"/>
    <col min="14085" max="14085" width="0" style="2" hidden="1" customWidth="1"/>
    <col min="14086" max="14086" width="6.28515625" style="2" customWidth="1"/>
    <col min="14087" max="14087" width="6" style="2" customWidth="1"/>
    <col min="14088" max="14088" width="7.28515625" style="2" customWidth="1"/>
    <col min="14089" max="14089" width="6.28515625" style="2" customWidth="1"/>
    <col min="14090" max="14090" width="12.5703125" style="2" customWidth="1"/>
    <col min="14091" max="14333" width="9.140625" style="2"/>
    <col min="14334" max="14334" width="50.7109375" style="2" customWidth="1"/>
    <col min="14335" max="14335" width="10" style="2" customWidth="1"/>
    <col min="14336" max="14336" width="8" style="2" customWidth="1"/>
    <col min="14337" max="14337" width="9.85546875" style="2" customWidth="1"/>
    <col min="14338" max="14338" width="12.28515625" style="2" customWidth="1"/>
    <col min="14339" max="14339" width="0" style="2" hidden="1" customWidth="1"/>
    <col min="14340" max="14340" width="14.42578125" style="2" customWidth="1"/>
    <col min="14341" max="14341" width="0" style="2" hidden="1" customWidth="1"/>
    <col min="14342" max="14342" width="6.28515625" style="2" customWidth="1"/>
    <col min="14343" max="14343" width="6" style="2" customWidth="1"/>
    <col min="14344" max="14344" width="7.28515625" style="2" customWidth="1"/>
    <col min="14345" max="14345" width="6.28515625" style="2" customWidth="1"/>
    <col min="14346" max="14346" width="12.5703125" style="2" customWidth="1"/>
    <col min="14347" max="14589" width="9.140625" style="2"/>
    <col min="14590" max="14590" width="50.7109375" style="2" customWidth="1"/>
    <col min="14591" max="14591" width="10" style="2" customWidth="1"/>
    <col min="14592" max="14592" width="8" style="2" customWidth="1"/>
    <col min="14593" max="14593" width="9.85546875" style="2" customWidth="1"/>
    <col min="14594" max="14594" width="12.28515625" style="2" customWidth="1"/>
    <col min="14595" max="14595" width="0" style="2" hidden="1" customWidth="1"/>
    <col min="14596" max="14596" width="14.42578125" style="2" customWidth="1"/>
    <col min="14597" max="14597" width="0" style="2" hidden="1" customWidth="1"/>
    <col min="14598" max="14598" width="6.28515625" style="2" customWidth="1"/>
    <col min="14599" max="14599" width="6" style="2" customWidth="1"/>
    <col min="14600" max="14600" width="7.28515625" style="2" customWidth="1"/>
    <col min="14601" max="14601" width="6.28515625" style="2" customWidth="1"/>
    <col min="14602" max="14602" width="12.5703125" style="2" customWidth="1"/>
    <col min="14603" max="14845" width="9.140625" style="2"/>
    <col min="14846" max="14846" width="50.7109375" style="2" customWidth="1"/>
    <col min="14847" max="14847" width="10" style="2" customWidth="1"/>
    <col min="14848" max="14848" width="8" style="2" customWidth="1"/>
    <col min="14849" max="14849" width="9.85546875" style="2" customWidth="1"/>
    <col min="14850" max="14850" width="12.28515625" style="2" customWidth="1"/>
    <col min="14851" max="14851" width="0" style="2" hidden="1" customWidth="1"/>
    <col min="14852" max="14852" width="14.42578125" style="2" customWidth="1"/>
    <col min="14853" max="14853" width="0" style="2" hidden="1" customWidth="1"/>
    <col min="14854" max="14854" width="6.28515625" style="2" customWidth="1"/>
    <col min="14855" max="14855" width="6" style="2" customWidth="1"/>
    <col min="14856" max="14856" width="7.28515625" style="2" customWidth="1"/>
    <col min="14857" max="14857" width="6.28515625" style="2" customWidth="1"/>
    <col min="14858" max="14858" width="12.5703125" style="2" customWidth="1"/>
    <col min="14859" max="15101" width="9.140625" style="2"/>
    <col min="15102" max="15102" width="50.7109375" style="2" customWidth="1"/>
    <col min="15103" max="15103" width="10" style="2" customWidth="1"/>
    <col min="15104" max="15104" width="8" style="2" customWidth="1"/>
    <col min="15105" max="15105" width="9.85546875" style="2" customWidth="1"/>
    <col min="15106" max="15106" width="12.28515625" style="2" customWidth="1"/>
    <col min="15107" max="15107" width="0" style="2" hidden="1" customWidth="1"/>
    <col min="15108" max="15108" width="14.42578125" style="2" customWidth="1"/>
    <col min="15109" max="15109" width="0" style="2" hidden="1" customWidth="1"/>
    <col min="15110" max="15110" width="6.28515625" style="2" customWidth="1"/>
    <col min="15111" max="15111" width="6" style="2" customWidth="1"/>
    <col min="15112" max="15112" width="7.28515625" style="2" customWidth="1"/>
    <col min="15113" max="15113" width="6.28515625" style="2" customWidth="1"/>
    <col min="15114" max="15114" width="12.5703125" style="2" customWidth="1"/>
    <col min="15115" max="15357" width="9.140625" style="2"/>
    <col min="15358" max="15358" width="50.7109375" style="2" customWidth="1"/>
    <col min="15359" max="15359" width="10" style="2" customWidth="1"/>
    <col min="15360" max="15360" width="8" style="2" customWidth="1"/>
    <col min="15361" max="15361" width="9.85546875" style="2" customWidth="1"/>
    <col min="15362" max="15362" width="12.28515625" style="2" customWidth="1"/>
    <col min="15363" max="15363" width="0" style="2" hidden="1" customWidth="1"/>
    <col min="15364" max="15364" width="14.42578125" style="2" customWidth="1"/>
    <col min="15365" max="15365" width="0" style="2" hidden="1" customWidth="1"/>
    <col min="15366" max="15366" width="6.28515625" style="2" customWidth="1"/>
    <col min="15367" max="15367" width="6" style="2" customWidth="1"/>
    <col min="15368" max="15368" width="7.28515625" style="2" customWidth="1"/>
    <col min="15369" max="15369" width="6.28515625" style="2" customWidth="1"/>
    <col min="15370" max="15370" width="12.5703125" style="2" customWidth="1"/>
    <col min="15371" max="15613" width="9.140625" style="2"/>
    <col min="15614" max="15614" width="50.7109375" style="2" customWidth="1"/>
    <col min="15615" max="15615" width="10" style="2" customWidth="1"/>
    <col min="15616" max="15616" width="8" style="2" customWidth="1"/>
    <col min="15617" max="15617" width="9.85546875" style="2" customWidth="1"/>
    <col min="15618" max="15618" width="12.28515625" style="2" customWidth="1"/>
    <col min="15619" max="15619" width="0" style="2" hidden="1" customWidth="1"/>
    <col min="15620" max="15620" width="14.42578125" style="2" customWidth="1"/>
    <col min="15621" max="15621" width="0" style="2" hidden="1" customWidth="1"/>
    <col min="15622" max="15622" width="6.28515625" style="2" customWidth="1"/>
    <col min="15623" max="15623" width="6" style="2" customWidth="1"/>
    <col min="15624" max="15624" width="7.28515625" style="2" customWidth="1"/>
    <col min="15625" max="15625" width="6.28515625" style="2" customWidth="1"/>
    <col min="15626" max="15626" width="12.5703125" style="2" customWidth="1"/>
    <col min="15627" max="15869" width="9.140625" style="2"/>
    <col min="15870" max="15870" width="50.7109375" style="2" customWidth="1"/>
    <col min="15871" max="15871" width="10" style="2" customWidth="1"/>
    <col min="15872" max="15872" width="8" style="2" customWidth="1"/>
    <col min="15873" max="15873" width="9.85546875" style="2" customWidth="1"/>
    <col min="15874" max="15874" width="12.28515625" style="2" customWidth="1"/>
    <col min="15875" max="15875" width="0" style="2" hidden="1" customWidth="1"/>
    <col min="15876" max="15876" width="14.42578125" style="2" customWidth="1"/>
    <col min="15877" max="15877" width="0" style="2" hidden="1" customWidth="1"/>
    <col min="15878" max="15878" width="6.28515625" style="2" customWidth="1"/>
    <col min="15879" max="15879" width="6" style="2" customWidth="1"/>
    <col min="15880" max="15880" width="7.28515625" style="2" customWidth="1"/>
    <col min="15881" max="15881" width="6.28515625" style="2" customWidth="1"/>
    <col min="15882" max="15882" width="12.5703125" style="2" customWidth="1"/>
    <col min="15883" max="16125" width="9.140625" style="2"/>
    <col min="16126" max="16126" width="50.7109375" style="2" customWidth="1"/>
    <col min="16127" max="16127" width="10" style="2" customWidth="1"/>
    <col min="16128" max="16128" width="8" style="2" customWidth="1"/>
    <col min="16129" max="16129" width="9.85546875" style="2" customWidth="1"/>
    <col min="16130" max="16130" width="12.28515625" style="2" customWidth="1"/>
    <col min="16131" max="16131" width="0" style="2" hidden="1" customWidth="1"/>
    <col min="16132" max="16132" width="14.42578125" style="2" customWidth="1"/>
    <col min="16133" max="16133" width="0" style="2" hidden="1" customWidth="1"/>
    <col min="16134" max="16134" width="6.28515625" style="2" customWidth="1"/>
    <col min="16135" max="16135" width="6" style="2" customWidth="1"/>
    <col min="16136" max="16136" width="7.28515625" style="2" customWidth="1"/>
    <col min="16137" max="16137" width="6.28515625" style="2" customWidth="1"/>
    <col min="16138" max="16138" width="12.5703125" style="2" customWidth="1"/>
    <col min="16139" max="16384" width="9.140625" style="2"/>
  </cols>
  <sheetData>
    <row r="1" spans="1:18" ht="12.75" customHeight="1">
      <c r="A1" s="1"/>
      <c r="B1" s="1"/>
      <c r="C1" s="1"/>
      <c r="D1" s="632" t="s">
        <v>555</v>
      </c>
      <c r="E1" s="632"/>
      <c r="F1" s="632"/>
      <c r="G1" s="632"/>
      <c r="H1" s="632"/>
      <c r="I1" s="632"/>
      <c r="J1" s="632"/>
      <c r="K1" s="632"/>
    </row>
    <row r="2" spans="1:18" ht="64.5" customHeight="1">
      <c r="A2" s="3"/>
      <c r="B2" s="3"/>
      <c r="C2" s="3"/>
      <c r="D2" s="609" t="s">
        <v>585</v>
      </c>
      <c r="E2" s="609"/>
      <c r="F2" s="609"/>
      <c r="G2" s="609"/>
      <c r="H2" s="609"/>
      <c r="I2" s="609"/>
      <c r="J2" s="609"/>
      <c r="K2" s="609"/>
    </row>
    <row r="3" spans="1:18" ht="12.75" customHeight="1">
      <c r="A3" s="3"/>
      <c r="B3" s="3"/>
      <c r="C3" s="3"/>
      <c r="D3" s="609"/>
      <c r="E3" s="609"/>
      <c r="F3" s="609"/>
      <c r="G3" s="609"/>
      <c r="H3" s="609"/>
      <c r="I3" s="609"/>
      <c r="J3" s="609"/>
      <c r="K3" s="609"/>
    </row>
    <row r="4" spans="1:18" ht="5.25" customHeight="1">
      <c r="A4" s="4"/>
      <c r="B4" s="4"/>
      <c r="C4" s="4"/>
      <c r="D4" s="633"/>
      <c r="E4" s="633"/>
      <c r="F4" s="633"/>
      <c r="G4" s="633"/>
      <c r="H4" s="633"/>
      <c r="I4" s="633"/>
      <c r="J4" s="633"/>
      <c r="K4" s="633"/>
    </row>
    <row r="5" spans="1:18" ht="17.25" customHeight="1" thickBot="1">
      <c r="A5" s="634" t="s">
        <v>0</v>
      </c>
      <c r="B5" s="634"/>
      <c r="C5" s="634"/>
      <c r="D5" s="634"/>
      <c r="E5" s="634"/>
      <c r="F5" s="634"/>
      <c r="G5" s="634"/>
      <c r="H5" s="634"/>
      <c r="I5" s="634"/>
      <c r="J5" s="634"/>
      <c r="K5" s="634"/>
    </row>
    <row r="6" spans="1:18" ht="72" customHeight="1" thickBot="1">
      <c r="A6" s="5" t="s">
        <v>1</v>
      </c>
      <c r="B6" s="6" t="s">
        <v>2</v>
      </c>
      <c r="C6" s="6" t="s">
        <v>3</v>
      </c>
      <c r="D6" s="7" t="s">
        <v>4</v>
      </c>
      <c r="E6" s="130" t="s">
        <v>529</v>
      </c>
      <c r="F6" s="645" t="s">
        <v>5</v>
      </c>
      <c r="G6" s="646"/>
      <c r="H6" s="645" t="s">
        <v>6</v>
      </c>
      <c r="I6" s="646"/>
      <c r="J6" s="8" t="s">
        <v>290</v>
      </c>
      <c r="K6" s="462" t="s">
        <v>561</v>
      </c>
      <c r="L6" s="463" t="s">
        <v>548</v>
      </c>
      <c r="M6" s="601" t="s">
        <v>530</v>
      </c>
      <c r="N6" s="601"/>
      <c r="O6" s="602"/>
      <c r="P6" s="602"/>
      <c r="Q6" s="602"/>
      <c r="R6" s="602"/>
    </row>
    <row r="7" spans="1:18" ht="16.5" customHeight="1" thickBot="1">
      <c r="A7" s="647" t="s">
        <v>7</v>
      </c>
      <c r="B7" s="648"/>
      <c r="C7" s="648"/>
      <c r="D7" s="648"/>
      <c r="E7" s="498">
        <f>E8+E90</f>
        <v>33409.387569999999</v>
      </c>
      <c r="F7" s="54"/>
      <c r="G7" s="55"/>
      <c r="H7" s="54"/>
      <c r="I7" s="55"/>
      <c r="J7" s="56"/>
      <c r="K7" s="497">
        <f>K8+K90</f>
        <v>29057.087520000001</v>
      </c>
      <c r="L7" s="381">
        <f>K7/E7</f>
        <v>0.86972823010056755</v>
      </c>
      <c r="M7" s="603">
        <f>K103</f>
        <v>0</v>
      </c>
      <c r="N7" s="604" t="s">
        <v>136</v>
      </c>
      <c r="O7" s="605">
        <f>E103</f>
        <v>110</v>
      </c>
      <c r="P7" s="602"/>
      <c r="Q7" s="602"/>
      <c r="R7" s="602"/>
    </row>
    <row r="8" spans="1:18" ht="18" customHeight="1" thickBot="1">
      <c r="A8" s="218" t="s">
        <v>8</v>
      </c>
      <c r="B8" s="219">
        <v>70</v>
      </c>
      <c r="C8" s="220"/>
      <c r="D8" s="221"/>
      <c r="E8" s="222">
        <f>E9</f>
        <v>18490.214739999999</v>
      </c>
      <c r="F8" s="91"/>
      <c r="G8" s="92"/>
      <c r="H8" s="91"/>
      <c r="I8" s="92"/>
      <c r="J8" s="92"/>
      <c r="K8" s="222">
        <f>K9</f>
        <v>14906.402750000001</v>
      </c>
      <c r="L8" s="382">
        <f>K8/E8</f>
        <v>0.80617791408084005</v>
      </c>
      <c r="M8" s="603">
        <f>E94+E96+E99+E100+E101</f>
        <v>10429.460000000001</v>
      </c>
      <c r="N8" s="604" t="s">
        <v>125</v>
      </c>
      <c r="O8" s="606">
        <f>прил.4.РАСХ.ИСПОЛН.!D11</f>
        <v>10429.460000000001</v>
      </c>
      <c r="P8" s="602"/>
      <c r="Q8" s="602"/>
      <c r="R8" s="602"/>
    </row>
    <row r="9" spans="1:18" ht="43.5" thickBot="1">
      <c r="A9" s="223" t="s">
        <v>9</v>
      </c>
      <c r="B9" s="224">
        <v>71</v>
      </c>
      <c r="C9" s="225"/>
      <c r="D9" s="226"/>
      <c r="E9" s="227">
        <f>E10+E26+E39+E71+E76</f>
        <v>18490.214739999999</v>
      </c>
      <c r="F9" s="228"/>
      <c r="G9" s="229"/>
      <c r="H9" s="228"/>
      <c r="I9" s="229"/>
      <c r="J9" s="229"/>
      <c r="K9" s="227">
        <f>K10+K26+K39+K71+K76</f>
        <v>14906.402750000001</v>
      </c>
      <c r="L9" s="383">
        <f>K9/E9</f>
        <v>0.80617791408084005</v>
      </c>
      <c r="M9" s="603">
        <v>0</v>
      </c>
      <c r="N9" s="604" t="s">
        <v>236</v>
      </c>
      <c r="O9" s="602"/>
      <c r="P9" s="602"/>
      <c r="Q9" s="602"/>
      <c r="R9" s="602"/>
    </row>
    <row r="10" spans="1:18" ht="15" customHeight="1">
      <c r="A10" s="230" t="s">
        <v>10</v>
      </c>
      <c r="B10" s="649" t="s">
        <v>11</v>
      </c>
      <c r="C10" s="651"/>
      <c r="D10" s="653"/>
      <c r="E10" s="628">
        <f>E12+E15+E20+E23</f>
        <v>712</v>
      </c>
      <c r="F10" s="231"/>
      <c r="G10" s="131"/>
      <c r="H10" s="231"/>
      <c r="I10" s="131"/>
      <c r="J10" s="131"/>
      <c r="K10" s="628">
        <f>K12+K15+K20+K23</f>
        <v>641.11041999999998</v>
      </c>
      <c r="L10" s="622">
        <f>K10/E10</f>
        <v>0.90043598314606743</v>
      </c>
      <c r="M10" s="603">
        <f>K128</f>
        <v>0</v>
      </c>
      <c r="N10" s="604" t="s">
        <v>181</v>
      </c>
      <c r="O10" s="602"/>
      <c r="P10" s="602"/>
      <c r="Q10" s="602"/>
      <c r="R10" s="602"/>
    </row>
    <row r="11" spans="1:18" ht="26.25" thickBot="1">
      <c r="A11" s="232" t="s">
        <v>12</v>
      </c>
      <c r="B11" s="650"/>
      <c r="C11" s="652"/>
      <c r="D11" s="654"/>
      <c r="E11" s="629"/>
      <c r="F11" s="231"/>
      <c r="G11" s="131"/>
      <c r="H11" s="231"/>
      <c r="I11" s="131"/>
      <c r="J11" s="131"/>
      <c r="K11" s="629"/>
      <c r="L11" s="623"/>
      <c r="M11" s="603">
        <f>K117</f>
        <v>0</v>
      </c>
      <c r="N11" s="604" t="s">
        <v>164</v>
      </c>
      <c r="O11" s="602"/>
      <c r="P11" s="602"/>
      <c r="Q11" s="602"/>
      <c r="R11" s="602"/>
    </row>
    <row r="12" spans="1:18" ht="12.75" customHeight="1">
      <c r="A12" s="242" t="s">
        <v>13</v>
      </c>
      <c r="B12" s="243"/>
      <c r="C12" s="243" t="s">
        <v>14</v>
      </c>
      <c r="D12" s="244" t="s">
        <v>15</v>
      </c>
      <c r="E12" s="245">
        <f t="shared" ref="E12:E13" si="0">E13</f>
        <v>336</v>
      </c>
      <c r="F12" s="96"/>
      <c r="G12" s="97"/>
      <c r="H12" s="96"/>
      <c r="I12" s="97"/>
      <c r="J12" s="97"/>
      <c r="K12" s="245">
        <f t="shared" ref="K12" si="1">K13</f>
        <v>325.11041999999998</v>
      </c>
      <c r="L12" s="384">
        <f>K12/E12</f>
        <v>0.96759053571428566</v>
      </c>
      <c r="M12" s="603">
        <f>K105+K109+K110+K111+K112+K113+K114+K115+K119+K121+K122+K124+K130+K132+K143+K147</f>
        <v>1849.2747999999999</v>
      </c>
      <c r="N12" s="604" t="s">
        <v>138</v>
      </c>
      <c r="O12" s="606">
        <f>прил.4.РАСХ.ИСПОЛН.!G15</f>
        <v>1849.2747999999999</v>
      </c>
      <c r="P12" s="602"/>
      <c r="Q12" s="607">
        <f>M12-O12</f>
        <v>0</v>
      </c>
      <c r="R12" s="602"/>
    </row>
    <row r="13" spans="1:18" ht="28.5" customHeight="1">
      <c r="A13" s="75" t="s">
        <v>16</v>
      </c>
      <c r="B13" s="76" t="s">
        <v>17</v>
      </c>
      <c r="C13" s="76"/>
      <c r="D13" s="77"/>
      <c r="E13" s="79">
        <f t="shared" si="0"/>
        <v>336</v>
      </c>
      <c r="F13" s="80"/>
      <c r="G13" s="81"/>
      <c r="H13" s="80"/>
      <c r="I13" s="81"/>
      <c r="J13" s="81"/>
      <c r="K13" s="79">
        <f>K14</f>
        <v>325.11041999999998</v>
      </c>
      <c r="L13" s="385">
        <f t="shared" ref="L13:L26" si="2">K13/E13</f>
        <v>0.96759053571428566</v>
      </c>
      <c r="M13" s="603">
        <f>K134+K135</f>
        <v>297.53000000000003</v>
      </c>
      <c r="N13" s="604" t="s">
        <v>189</v>
      </c>
      <c r="O13" s="602">
        <f>прил.4.РАСХ.ИСПОЛН.!G17</f>
        <v>297.53000000000009</v>
      </c>
      <c r="P13" s="602"/>
      <c r="Q13" s="602"/>
      <c r="R13" s="602"/>
    </row>
    <row r="14" spans="1:18" ht="12.75" customHeight="1">
      <c r="A14" s="11" t="s">
        <v>18</v>
      </c>
      <c r="B14" s="12" t="s">
        <v>17</v>
      </c>
      <c r="C14" s="12" t="s">
        <v>19</v>
      </c>
      <c r="D14" s="13" t="s">
        <v>15</v>
      </c>
      <c r="E14" s="15">
        <f>300+J14</f>
        <v>336</v>
      </c>
      <c r="F14" s="9"/>
      <c r="G14" s="10"/>
      <c r="H14" s="9"/>
      <c r="I14" s="10" t="s">
        <v>291</v>
      </c>
      <c r="J14" s="10">
        <v>36</v>
      </c>
      <c r="K14" s="503">
        <f>325.11042</f>
        <v>325.11041999999998</v>
      </c>
      <c r="L14" s="386">
        <f t="shared" si="2"/>
        <v>0.96759053571428566</v>
      </c>
      <c r="M14" s="603">
        <f>K32</f>
        <v>21.4</v>
      </c>
      <c r="N14" s="604" t="s">
        <v>39</v>
      </c>
      <c r="O14" s="606">
        <f>прил.4.РАСХ.ИСПОЛН.!G19</f>
        <v>21.4</v>
      </c>
      <c r="P14" s="602"/>
      <c r="Q14" s="602"/>
      <c r="R14" s="602"/>
    </row>
    <row r="15" spans="1:18" ht="16.5" customHeight="1">
      <c r="A15" s="93" t="s">
        <v>20</v>
      </c>
      <c r="B15" s="94"/>
      <c r="C15" s="94"/>
      <c r="D15" s="95" t="s">
        <v>21</v>
      </c>
      <c r="E15" s="246">
        <f>E16+E18</f>
        <v>376</v>
      </c>
      <c r="F15" s="96"/>
      <c r="G15" s="97"/>
      <c r="H15" s="96"/>
      <c r="I15" s="97"/>
      <c r="J15" s="97"/>
      <c r="K15" s="246">
        <f>K16+K18</f>
        <v>316</v>
      </c>
      <c r="L15" s="387">
        <f t="shared" si="2"/>
        <v>0.84042553191489366</v>
      </c>
      <c r="M15" s="603">
        <f>K35</f>
        <v>25.16253</v>
      </c>
      <c r="N15" s="604" t="s">
        <v>45</v>
      </c>
      <c r="O15" s="602">
        <f>прил.4.РАСХ.ИСПОЛН.!G20</f>
        <v>25.16253</v>
      </c>
      <c r="P15" s="602"/>
      <c r="Q15" s="602"/>
      <c r="R15" s="602"/>
    </row>
    <row r="16" spans="1:18" ht="25.5">
      <c r="A16" s="75" t="s">
        <v>22</v>
      </c>
      <c r="B16" s="76" t="s">
        <v>23</v>
      </c>
      <c r="C16" s="76"/>
      <c r="D16" s="77"/>
      <c r="E16" s="79">
        <f>E17</f>
        <v>30</v>
      </c>
      <c r="F16" s="80"/>
      <c r="G16" s="81"/>
      <c r="H16" s="80"/>
      <c r="I16" s="81"/>
      <c r="J16" s="81"/>
      <c r="K16" s="79">
        <f>K17</f>
        <v>20</v>
      </c>
      <c r="L16" s="385">
        <f t="shared" si="2"/>
        <v>0.66666666666666663</v>
      </c>
      <c r="M16" s="603">
        <f>K38</f>
        <v>10</v>
      </c>
      <c r="N16" s="604" t="s">
        <v>49</v>
      </c>
      <c r="O16" s="602"/>
      <c r="P16" s="602"/>
      <c r="Q16" s="602"/>
      <c r="R16" s="602"/>
    </row>
    <row r="17" spans="1:18" ht="25.5">
      <c r="A17" s="16" t="s">
        <v>24</v>
      </c>
      <c r="B17" s="17" t="s">
        <v>23</v>
      </c>
      <c r="C17" s="17" t="s">
        <v>19</v>
      </c>
      <c r="D17" s="18" t="s">
        <v>21</v>
      </c>
      <c r="E17" s="19">
        <v>30</v>
      </c>
      <c r="F17" s="9"/>
      <c r="G17" s="10"/>
      <c r="H17" s="9"/>
      <c r="I17" s="10">
        <v>30</v>
      </c>
      <c r="J17" s="10"/>
      <c r="K17" s="19">
        <v>20</v>
      </c>
      <c r="L17" s="388">
        <f t="shared" si="2"/>
        <v>0.66666666666666663</v>
      </c>
      <c r="M17" s="603">
        <f>K22+K141</f>
        <v>9.4499999999999993</v>
      </c>
      <c r="N17" s="604" t="s">
        <v>28</v>
      </c>
      <c r="O17" s="606">
        <f>прил.4.РАСХ.ИСПОЛН.!G23</f>
        <v>9.4499999999999993</v>
      </c>
      <c r="P17" s="602"/>
      <c r="Q17" s="602"/>
      <c r="R17" s="602"/>
    </row>
    <row r="18" spans="1:18" ht="18.75" customHeight="1">
      <c r="A18" s="75" t="s">
        <v>25</v>
      </c>
      <c r="B18" s="76" t="s">
        <v>26</v>
      </c>
      <c r="C18" s="76"/>
      <c r="D18" s="77"/>
      <c r="E18" s="79">
        <f>E19</f>
        <v>346</v>
      </c>
      <c r="F18" s="80"/>
      <c r="G18" s="81"/>
      <c r="H18" s="80"/>
      <c r="I18" s="81"/>
      <c r="J18" s="81"/>
      <c r="K18" s="79">
        <f>K19</f>
        <v>296</v>
      </c>
      <c r="L18" s="385">
        <f t="shared" si="2"/>
        <v>0.8554913294797688</v>
      </c>
      <c r="M18" s="603">
        <f>0</f>
        <v>0</v>
      </c>
      <c r="N18" s="604" t="s">
        <v>248</v>
      </c>
      <c r="O18" s="602"/>
      <c r="P18" s="602"/>
      <c r="Q18" s="602"/>
      <c r="R18" s="602"/>
    </row>
    <row r="19" spans="1:18" ht="26.25" thickBot="1">
      <c r="A19" s="11" t="s">
        <v>24</v>
      </c>
      <c r="B19" s="12" t="s">
        <v>26</v>
      </c>
      <c r="C19" s="12" t="s">
        <v>19</v>
      </c>
      <c r="D19" s="13" t="s">
        <v>21</v>
      </c>
      <c r="E19" s="19">
        <v>346</v>
      </c>
      <c r="F19" s="9"/>
      <c r="G19" s="10"/>
      <c r="H19" s="9"/>
      <c r="I19" s="10">
        <v>50</v>
      </c>
      <c r="J19" s="10"/>
      <c r="K19" s="19">
        <v>296</v>
      </c>
      <c r="L19" s="388">
        <f t="shared" si="2"/>
        <v>0.8554913294797688</v>
      </c>
      <c r="M19" s="603">
        <f>K25+K145</f>
        <v>10</v>
      </c>
      <c r="N19" s="604" t="s">
        <v>32</v>
      </c>
      <c r="O19" s="602"/>
      <c r="P19" s="602"/>
      <c r="Q19" s="602"/>
      <c r="R19" s="602"/>
    </row>
    <row r="20" spans="1:18" hidden="1">
      <c r="A20" s="242" t="s">
        <v>27</v>
      </c>
      <c r="B20" s="243"/>
      <c r="C20" s="243" t="s">
        <v>14</v>
      </c>
      <c r="D20" s="244" t="s">
        <v>28</v>
      </c>
      <c r="E20" s="245">
        <f t="shared" ref="E20:E21" si="3">E21</f>
        <v>0</v>
      </c>
      <c r="F20" s="96"/>
      <c r="G20" s="97"/>
      <c r="H20" s="96"/>
      <c r="I20" s="97"/>
      <c r="J20" s="97"/>
      <c r="K20" s="245">
        <f t="shared" ref="K20:K21" si="4">K21</f>
        <v>0</v>
      </c>
      <c r="L20" s="384" t="e">
        <f t="shared" si="2"/>
        <v>#DIV/0!</v>
      </c>
      <c r="M20" s="603">
        <f>K62+K64+K66+K70+K149+K137</f>
        <v>6322.6259400000008</v>
      </c>
      <c r="N20" s="604" t="s">
        <v>80</v>
      </c>
      <c r="O20" s="602"/>
      <c r="P20" s="602"/>
      <c r="Q20" s="602"/>
      <c r="R20" s="602"/>
    </row>
    <row r="21" spans="1:18" ht="25.5" hidden="1">
      <c r="A21" s="75" t="s">
        <v>29</v>
      </c>
      <c r="B21" s="76" t="s">
        <v>30</v>
      </c>
      <c r="C21" s="76"/>
      <c r="D21" s="77"/>
      <c r="E21" s="79">
        <f t="shared" si="3"/>
        <v>0</v>
      </c>
      <c r="F21" s="80"/>
      <c r="G21" s="81"/>
      <c r="H21" s="80"/>
      <c r="I21" s="81"/>
      <c r="J21" s="81"/>
      <c r="K21" s="79">
        <f t="shared" si="4"/>
        <v>0</v>
      </c>
      <c r="L21" s="385" t="e">
        <f t="shared" si="2"/>
        <v>#DIV/0!</v>
      </c>
      <c r="M21" s="603">
        <f>K14</f>
        <v>325.11041999999998</v>
      </c>
      <c r="N21" s="604" t="s">
        <v>15</v>
      </c>
      <c r="O21" s="602"/>
      <c r="P21" s="602"/>
      <c r="Q21" s="602"/>
      <c r="R21" s="602"/>
    </row>
    <row r="22" spans="1:18" ht="25.5" hidden="1">
      <c r="A22" s="11" t="s">
        <v>18</v>
      </c>
      <c r="B22" s="12" t="s">
        <v>30</v>
      </c>
      <c r="C22" s="12" t="s">
        <v>19</v>
      </c>
      <c r="D22" s="13" t="s">
        <v>28</v>
      </c>
      <c r="E22" s="19">
        <v>0</v>
      </c>
      <c r="F22" s="20"/>
      <c r="G22" s="10"/>
      <c r="H22" s="9"/>
      <c r="I22" s="10"/>
      <c r="J22" s="10"/>
      <c r="K22" s="19">
        <v>0</v>
      </c>
      <c r="L22" s="388" t="e">
        <f t="shared" si="2"/>
        <v>#DIV/0!</v>
      </c>
      <c r="M22" s="603">
        <f>K17+K19</f>
        <v>316</v>
      </c>
      <c r="N22" s="604" t="s">
        <v>21</v>
      </c>
      <c r="O22" s="602"/>
      <c r="P22" s="602"/>
      <c r="Q22" s="602"/>
      <c r="R22" s="602"/>
    </row>
    <row r="23" spans="1:18" hidden="1">
      <c r="A23" s="93" t="s">
        <v>31</v>
      </c>
      <c r="B23" s="94"/>
      <c r="C23" s="94"/>
      <c r="D23" s="95" t="s">
        <v>32</v>
      </c>
      <c r="E23" s="246">
        <f t="shared" ref="E23:E24" si="5">E24</f>
        <v>0</v>
      </c>
      <c r="F23" s="96"/>
      <c r="G23" s="97"/>
      <c r="H23" s="96"/>
      <c r="I23" s="97"/>
      <c r="J23" s="97"/>
      <c r="K23" s="246">
        <f t="shared" ref="K23:K24" si="6">K24</f>
        <v>0</v>
      </c>
      <c r="L23" s="387" t="e">
        <f t="shared" si="2"/>
        <v>#DIV/0!</v>
      </c>
      <c r="M23" s="603">
        <f>K43+K45</f>
        <v>1155.9472599999999</v>
      </c>
      <c r="N23" s="604" t="s">
        <v>56</v>
      </c>
      <c r="O23" s="602"/>
      <c r="P23" s="602"/>
      <c r="Q23" s="602"/>
      <c r="R23" s="602"/>
    </row>
    <row r="24" spans="1:18" ht="25.5" hidden="1">
      <c r="A24" s="75" t="s">
        <v>33</v>
      </c>
      <c r="B24" s="76" t="s">
        <v>34</v>
      </c>
      <c r="C24" s="76"/>
      <c r="D24" s="77"/>
      <c r="E24" s="79">
        <f t="shared" si="5"/>
        <v>0</v>
      </c>
      <c r="F24" s="80"/>
      <c r="G24" s="81"/>
      <c r="H24" s="80"/>
      <c r="I24" s="81"/>
      <c r="J24" s="81"/>
      <c r="K24" s="79">
        <f t="shared" si="6"/>
        <v>0</v>
      </c>
      <c r="L24" s="385" t="e">
        <f t="shared" si="2"/>
        <v>#DIV/0!</v>
      </c>
      <c r="M24" s="603">
        <f>K48</f>
        <v>261.32988</v>
      </c>
      <c r="N24" s="604" t="s">
        <v>64</v>
      </c>
      <c r="O24" s="602"/>
      <c r="P24" s="602"/>
      <c r="Q24" s="602"/>
      <c r="R24" s="602"/>
    </row>
    <row r="25" spans="1:18" ht="26.25" hidden="1" thickBot="1">
      <c r="A25" s="16" t="s">
        <v>24</v>
      </c>
      <c r="B25" s="17" t="s">
        <v>34</v>
      </c>
      <c r="C25" s="17" t="s">
        <v>19</v>
      </c>
      <c r="D25" s="18" t="s">
        <v>32</v>
      </c>
      <c r="E25" s="21">
        <v>0</v>
      </c>
      <c r="F25" s="20"/>
      <c r="G25" s="10"/>
      <c r="H25" s="9"/>
      <c r="I25" s="10"/>
      <c r="J25" s="10"/>
      <c r="K25" s="21">
        <v>0</v>
      </c>
      <c r="L25" s="389" t="e">
        <f t="shared" si="2"/>
        <v>#DIV/0!</v>
      </c>
      <c r="M25" s="603">
        <f>K51+K53+K55+K57+K59+K139</f>
        <v>5843.4671499999995</v>
      </c>
      <c r="N25" s="604" t="s">
        <v>68</v>
      </c>
      <c r="O25" s="602"/>
      <c r="P25" s="602"/>
      <c r="Q25" s="602"/>
      <c r="R25" s="602"/>
    </row>
    <row r="26" spans="1:18" ht="14.25">
      <c r="A26" s="230" t="s">
        <v>35</v>
      </c>
      <c r="B26" s="649" t="s">
        <v>36</v>
      </c>
      <c r="C26" s="649" t="s">
        <v>14</v>
      </c>
      <c r="D26" s="643"/>
      <c r="E26" s="628">
        <f>E28+E33+E36</f>
        <v>160</v>
      </c>
      <c r="F26" s="231"/>
      <c r="G26" s="131"/>
      <c r="H26" s="231"/>
      <c r="I26" s="131"/>
      <c r="J26" s="131"/>
      <c r="K26" s="635">
        <f>K28+K33+K36</f>
        <v>56.562529999999995</v>
      </c>
      <c r="L26" s="622">
        <f t="shared" si="2"/>
        <v>0.35351581249999997</v>
      </c>
      <c r="M26" s="603">
        <f>K85+K87+K89</f>
        <v>333.72240000000005</v>
      </c>
      <c r="N26" s="604" t="s">
        <v>107</v>
      </c>
      <c r="O26" s="602">
        <f>прил.4.РАСХ.ИСПОЛН.!G35</f>
        <v>333.72240000000005</v>
      </c>
      <c r="P26" s="602"/>
      <c r="Q26" s="602"/>
      <c r="R26" s="602"/>
    </row>
    <row r="27" spans="1:18" ht="26.25" thickBot="1">
      <c r="A27" s="232" t="s">
        <v>37</v>
      </c>
      <c r="B27" s="650"/>
      <c r="C27" s="650"/>
      <c r="D27" s="644"/>
      <c r="E27" s="629"/>
      <c r="F27" s="231"/>
      <c r="G27" s="131"/>
      <c r="H27" s="231"/>
      <c r="I27" s="131"/>
      <c r="J27" s="131"/>
      <c r="K27" s="636"/>
      <c r="L27" s="623"/>
      <c r="M27" s="603">
        <f>K75+K156+K157+K159+K160+K162+K163+K165+K166</f>
        <v>14474.197699999999</v>
      </c>
      <c r="N27" s="604" t="s">
        <v>94</v>
      </c>
      <c r="O27" s="606">
        <f>прил.4.РАСХ.ИСПОЛН.!G37</f>
        <v>14474.197699999997</v>
      </c>
      <c r="P27" s="602"/>
      <c r="Q27" s="602"/>
      <c r="R27" s="602"/>
    </row>
    <row r="28" spans="1:18" ht="12.75" customHeight="1">
      <c r="A28" s="242" t="s">
        <v>38</v>
      </c>
      <c r="B28" s="243"/>
      <c r="C28" s="243" t="s">
        <v>14</v>
      </c>
      <c r="D28" s="244" t="s">
        <v>39</v>
      </c>
      <c r="E28" s="245">
        <f>E29+E31</f>
        <v>100</v>
      </c>
      <c r="F28" s="96"/>
      <c r="G28" s="97"/>
      <c r="H28" s="96"/>
      <c r="I28" s="97"/>
      <c r="J28" s="97"/>
      <c r="K28" s="245">
        <f>K29+K31</f>
        <v>21.4</v>
      </c>
      <c r="L28" s="384">
        <f t="shared" ref="L28:L39" si="7">K28/E28</f>
        <v>0.214</v>
      </c>
      <c r="M28" s="603">
        <f>K126</f>
        <v>1021.92</v>
      </c>
      <c r="N28" s="604" t="s">
        <v>178</v>
      </c>
      <c r="O28" s="606">
        <f>прил.4.РАСХ.ИСПОЛН.!G39</f>
        <v>1021.92</v>
      </c>
      <c r="P28" s="602"/>
      <c r="Q28" s="602"/>
      <c r="R28" s="602"/>
    </row>
    <row r="29" spans="1:18" ht="15.75" customHeight="1">
      <c r="A29" s="75" t="s">
        <v>40</v>
      </c>
      <c r="B29" s="76" t="s">
        <v>41</v>
      </c>
      <c r="C29" s="76" t="s">
        <v>14</v>
      </c>
      <c r="D29" s="77"/>
      <c r="E29" s="79">
        <f>E30</f>
        <v>50</v>
      </c>
      <c r="F29" s="80"/>
      <c r="G29" s="81"/>
      <c r="H29" s="80"/>
      <c r="I29" s="81"/>
      <c r="J29" s="81"/>
      <c r="K29" s="79">
        <f>K30</f>
        <v>0</v>
      </c>
      <c r="L29" s="385">
        <f t="shared" si="7"/>
        <v>0</v>
      </c>
      <c r="M29" s="603">
        <f>K171</f>
        <v>429</v>
      </c>
      <c r="N29" s="604" t="s">
        <v>221</v>
      </c>
      <c r="O29" s="602"/>
      <c r="P29" s="602"/>
      <c r="Q29" s="602"/>
      <c r="R29" s="602"/>
    </row>
    <row r="30" spans="1:18" ht="25.5">
      <c r="A30" s="11" t="s">
        <v>18</v>
      </c>
      <c r="B30" s="12" t="s">
        <v>41</v>
      </c>
      <c r="C30" s="12" t="s">
        <v>19</v>
      </c>
      <c r="D30" s="13" t="s">
        <v>39</v>
      </c>
      <c r="E30" s="15">
        <v>50</v>
      </c>
      <c r="F30" s="9"/>
      <c r="G30" s="10"/>
      <c r="H30" s="9"/>
      <c r="I30" s="10"/>
      <c r="J30" s="10"/>
      <c r="K30" s="15">
        <v>0</v>
      </c>
      <c r="L30" s="386">
        <f t="shared" si="7"/>
        <v>0</v>
      </c>
      <c r="M30" s="603">
        <f>K174+K80+K82</f>
        <v>963.18</v>
      </c>
      <c r="N30" s="604" t="s">
        <v>99</v>
      </c>
      <c r="O30" s="606">
        <f>прил.4.РАСХ.ИСПОЛН.!G42</f>
        <v>963.18</v>
      </c>
      <c r="P30" s="602"/>
      <c r="Q30" s="602"/>
      <c r="R30" s="602"/>
    </row>
    <row r="31" spans="1:18" ht="38.25">
      <c r="A31" s="75" t="s">
        <v>42</v>
      </c>
      <c r="B31" s="76" t="s">
        <v>43</v>
      </c>
      <c r="C31" s="76" t="s">
        <v>14</v>
      </c>
      <c r="D31" s="77"/>
      <c r="E31" s="79">
        <f>E32</f>
        <v>50</v>
      </c>
      <c r="F31" s="80"/>
      <c r="G31" s="81"/>
      <c r="H31" s="80"/>
      <c r="I31" s="81"/>
      <c r="J31" s="81"/>
      <c r="K31" s="79">
        <f>K32</f>
        <v>21.4</v>
      </c>
      <c r="L31" s="385">
        <f t="shared" si="7"/>
        <v>0.42799999999999999</v>
      </c>
      <c r="M31" s="603">
        <f>SUM(M7:M30)</f>
        <v>44098.778080000004</v>
      </c>
      <c r="N31" s="604"/>
      <c r="O31" s="602"/>
      <c r="P31" s="602"/>
      <c r="Q31" s="602"/>
      <c r="R31" s="602"/>
    </row>
    <row r="32" spans="1:18" ht="25.5">
      <c r="A32" s="11" t="s">
        <v>18</v>
      </c>
      <c r="B32" s="12" t="s">
        <v>43</v>
      </c>
      <c r="C32" s="12" t="s">
        <v>19</v>
      </c>
      <c r="D32" s="13" t="s">
        <v>39</v>
      </c>
      <c r="E32" s="15">
        <v>50</v>
      </c>
      <c r="F32" s="9"/>
      <c r="G32" s="10"/>
      <c r="H32" s="9"/>
      <c r="I32" s="10"/>
      <c r="J32" s="10"/>
      <c r="K32" s="15">
        <v>21.4</v>
      </c>
      <c r="L32" s="386">
        <f t="shared" si="7"/>
        <v>0.42799999999999999</v>
      </c>
    </row>
    <row r="33" spans="1:12">
      <c r="A33" s="242" t="s">
        <v>44</v>
      </c>
      <c r="B33" s="243"/>
      <c r="C33" s="243" t="s">
        <v>14</v>
      </c>
      <c r="D33" s="244" t="s">
        <v>45</v>
      </c>
      <c r="E33" s="245">
        <f t="shared" ref="E33:E34" si="8">E34</f>
        <v>50</v>
      </c>
      <c r="F33" s="96"/>
      <c r="G33" s="97"/>
      <c r="H33" s="96"/>
      <c r="I33" s="97"/>
      <c r="J33" s="97"/>
      <c r="K33" s="245">
        <f t="shared" ref="K33:K34" si="9">K34</f>
        <v>25.16253</v>
      </c>
      <c r="L33" s="384">
        <f t="shared" si="7"/>
        <v>0.50325059999999999</v>
      </c>
    </row>
    <row r="34" spans="1:12" ht="25.5">
      <c r="A34" s="75" t="s">
        <v>46</v>
      </c>
      <c r="B34" s="76" t="s">
        <v>47</v>
      </c>
      <c r="C34" s="76" t="s">
        <v>14</v>
      </c>
      <c r="D34" s="77"/>
      <c r="E34" s="79">
        <f t="shared" si="8"/>
        <v>50</v>
      </c>
      <c r="F34" s="80"/>
      <c r="G34" s="81"/>
      <c r="H34" s="80"/>
      <c r="I34" s="81"/>
      <c r="J34" s="81"/>
      <c r="K34" s="79">
        <f t="shared" si="9"/>
        <v>25.16253</v>
      </c>
      <c r="L34" s="385">
        <f t="shared" si="7"/>
        <v>0.50325059999999999</v>
      </c>
    </row>
    <row r="35" spans="1:12" ht="25.5">
      <c r="A35" s="11" t="s">
        <v>18</v>
      </c>
      <c r="B35" s="12" t="s">
        <v>47</v>
      </c>
      <c r="C35" s="12" t="s">
        <v>19</v>
      </c>
      <c r="D35" s="13" t="s">
        <v>45</v>
      </c>
      <c r="E35" s="15">
        <v>50</v>
      </c>
      <c r="F35" s="9"/>
      <c r="G35" s="10"/>
      <c r="H35" s="9"/>
      <c r="I35" s="10"/>
      <c r="J35" s="10"/>
      <c r="K35" s="440">
        <v>25.16253</v>
      </c>
      <c r="L35" s="386">
        <f t="shared" si="7"/>
        <v>0.50325059999999999</v>
      </c>
    </row>
    <row r="36" spans="1:12" ht="25.5">
      <c r="A36" s="93" t="s">
        <v>48</v>
      </c>
      <c r="B36" s="94"/>
      <c r="C36" s="94"/>
      <c r="D36" s="95" t="s">
        <v>49</v>
      </c>
      <c r="E36" s="246">
        <f t="shared" ref="E36:E37" si="10">E37</f>
        <v>10</v>
      </c>
      <c r="F36" s="96"/>
      <c r="G36" s="97"/>
      <c r="H36" s="96"/>
      <c r="I36" s="97"/>
      <c r="J36" s="97"/>
      <c r="K36" s="246">
        <f t="shared" ref="K36:K37" si="11">K37</f>
        <v>10</v>
      </c>
      <c r="L36" s="387">
        <f t="shared" si="7"/>
        <v>1</v>
      </c>
    </row>
    <row r="37" spans="1:12" ht="19.5" customHeight="1">
      <c r="A37" s="75" t="s">
        <v>50</v>
      </c>
      <c r="B37" s="76" t="s">
        <v>51</v>
      </c>
      <c r="C37" s="76" t="s">
        <v>14</v>
      </c>
      <c r="D37" s="77"/>
      <c r="E37" s="79">
        <f t="shared" si="10"/>
        <v>10</v>
      </c>
      <c r="F37" s="80"/>
      <c r="G37" s="81"/>
      <c r="H37" s="80"/>
      <c r="I37" s="81"/>
      <c r="J37" s="81"/>
      <c r="K37" s="79">
        <f t="shared" si="11"/>
        <v>10</v>
      </c>
      <c r="L37" s="385">
        <f t="shared" si="7"/>
        <v>1</v>
      </c>
    </row>
    <row r="38" spans="1:12" ht="26.25" thickBot="1">
      <c r="A38" s="16" t="s">
        <v>18</v>
      </c>
      <c r="B38" s="17" t="s">
        <v>51</v>
      </c>
      <c r="C38" s="17" t="s">
        <v>19</v>
      </c>
      <c r="D38" s="18" t="s">
        <v>49</v>
      </c>
      <c r="E38" s="22">
        <v>10</v>
      </c>
      <c r="F38" s="9"/>
      <c r="G38" s="10"/>
      <c r="H38" s="9"/>
      <c r="I38" s="10"/>
      <c r="J38" s="10"/>
      <c r="K38" s="22">
        <v>10</v>
      </c>
      <c r="L38" s="390">
        <f t="shared" si="7"/>
        <v>1</v>
      </c>
    </row>
    <row r="39" spans="1:12" ht="14.25">
      <c r="A39" s="230" t="s">
        <v>52</v>
      </c>
      <c r="B39" s="649" t="s">
        <v>53</v>
      </c>
      <c r="C39" s="641"/>
      <c r="D39" s="643"/>
      <c r="E39" s="628">
        <f>E41+E46+E49+E60</f>
        <v>15017.78947</v>
      </c>
      <c r="F39" s="231"/>
      <c r="G39" s="131"/>
      <c r="H39" s="231"/>
      <c r="I39" s="131"/>
      <c r="J39" s="131"/>
      <c r="K39" s="628">
        <f>K41+K46+K49+K60</f>
        <v>13546.607400000001</v>
      </c>
      <c r="L39" s="622">
        <f t="shared" si="7"/>
        <v>0.9020373755445914</v>
      </c>
    </row>
    <row r="40" spans="1:12" ht="51.75" thickBot="1">
      <c r="A40" s="232" t="s">
        <v>54</v>
      </c>
      <c r="B40" s="650"/>
      <c r="C40" s="642"/>
      <c r="D40" s="644"/>
      <c r="E40" s="629"/>
      <c r="F40" s="231"/>
      <c r="G40" s="131"/>
      <c r="H40" s="231"/>
      <c r="I40" s="131"/>
      <c r="J40" s="131"/>
      <c r="K40" s="629"/>
      <c r="L40" s="623"/>
    </row>
    <row r="41" spans="1:12" ht="15" customHeight="1">
      <c r="A41" s="242" t="s">
        <v>55</v>
      </c>
      <c r="B41" s="243"/>
      <c r="C41" s="243"/>
      <c r="D41" s="244" t="s">
        <v>56</v>
      </c>
      <c r="E41" s="245">
        <f>E42+E44</f>
        <v>1205</v>
      </c>
      <c r="F41" s="96"/>
      <c r="G41" s="97"/>
      <c r="H41" s="96"/>
      <c r="I41" s="97"/>
      <c r="J41" s="97"/>
      <c r="K41" s="442">
        <f>K42+K44</f>
        <v>1155.9472599999999</v>
      </c>
      <c r="L41" s="384">
        <f t="shared" ref="L41:L71" si="12">K41/E41</f>
        <v>0.95929233195020736</v>
      </c>
    </row>
    <row r="42" spans="1:12" ht="29.25" customHeight="1">
      <c r="A42" s="75" t="s">
        <v>57</v>
      </c>
      <c r="B42" s="76" t="s">
        <v>58</v>
      </c>
      <c r="C42" s="76"/>
      <c r="D42" s="77"/>
      <c r="E42" s="79">
        <f>E43</f>
        <v>970</v>
      </c>
      <c r="F42" s="80"/>
      <c r="G42" s="81"/>
      <c r="H42" s="80"/>
      <c r="I42" s="81"/>
      <c r="J42" s="81"/>
      <c r="K42" s="79">
        <f>K43</f>
        <v>951.30872999999997</v>
      </c>
      <c r="L42" s="385">
        <f t="shared" si="12"/>
        <v>0.98073064948453603</v>
      </c>
    </row>
    <row r="43" spans="1:12" ht="25.5">
      <c r="A43" s="11" t="s">
        <v>59</v>
      </c>
      <c r="B43" s="12" t="s">
        <v>58</v>
      </c>
      <c r="C43" s="12" t="s">
        <v>60</v>
      </c>
      <c r="D43" s="13" t="s">
        <v>56</v>
      </c>
      <c r="E43" s="15">
        <f>700+J43</f>
        <v>970</v>
      </c>
      <c r="F43" s="9"/>
      <c r="G43" s="10"/>
      <c r="H43" s="9"/>
      <c r="I43" s="10"/>
      <c r="J43" s="10">
        <v>270</v>
      </c>
      <c r="K43" s="15">
        <v>951.30872999999997</v>
      </c>
      <c r="L43" s="386">
        <f t="shared" si="12"/>
        <v>0.98073064948453603</v>
      </c>
    </row>
    <row r="44" spans="1:12" ht="13.5" customHeight="1">
      <c r="A44" s="75" t="s">
        <v>61</v>
      </c>
      <c r="B44" s="76" t="s">
        <v>62</v>
      </c>
      <c r="C44" s="76"/>
      <c r="D44" s="77"/>
      <c r="E44" s="79">
        <f>E45</f>
        <v>235</v>
      </c>
      <c r="F44" s="80"/>
      <c r="G44" s="81"/>
      <c r="H44" s="80"/>
      <c r="I44" s="81"/>
      <c r="J44" s="81"/>
      <c r="K44" s="443">
        <f>K45</f>
        <v>204.63853</v>
      </c>
      <c r="L44" s="385">
        <f t="shared" si="12"/>
        <v>0.8708022553191489</v>
      </c>
    </row>
    <row r="45" spans="1:12" ht="25.5">
      <c r="A45" s="11" t="s">
        <v>18</v>
      </c>
      <c r="B45" s="12" t="s">
        <v>62</v>
      </c>
      <c r="C45" s="12" t="s">
        <v>19</v>
      </c>
      <c r="D45" s="13" t="s">
        <v>56</v>
      </c>
      <c r="E45" s="15">
        <f>185+J45</f>
        <v>235</v>
      </c>
      <c r="F45" s="9"/>
      <c r="G45" s="10"/>
      <c r="H45" s="9"/>
      <c r="I45" s="10"/>
      <c r="J45" s="10">
        <v>50</v>
      </c>
      <c r="K45" s="15">
        <v>204.63853</v>
      </c>
      <c r="L45" s="386">
        <f t="shared" si="12"/>
        <v>0.8708022553191489</v>
      </c>
    </row>
    <row r="46" spans="1:12">
      <c r="A46" s="242" t="s">
        <v>63</v>
      </c>
      <c r="B46" s="243"/>
      <c r="C46" s="243"/>
      <c r="D46" s="244" t="s">
        <v>64</v>
      </c>
      <c r="E46" s="245">
        <f t="shared" ref="E46:E47" si="13">E47</f>
        <v>385</v>
      </c>
      <c r="F46" s="96"/>
      <c r="G46" s="97"/>
      <c r="H46" s="96"/>
      <c r="I46" s="97"/>
      <c r="J46" s="97"/>
      <c r="K46" s="441">
        <f t="shared" ref="K46:K47" si="14">K47</f>
        <v>261.32988</v>
      </c>
      <c r="L46" s="384">
        <f t="shared" si="12"/>
        <v>0.6787789090909091</v>
      </c>
    </row>
    <row r="47" spans="1:12" ht="16.5" customHeight="1">
      <c r="A47" s="75" t="s">
        <v>65</v>
      </c>
      <c r="B47" s="76" t="s">
        <v>66</v>
      </c>
      <c r="C47" s="76"/>
      <c r="D47" s="77"/>
      <c r="E47" s="79">
        <f t="shared" si="13"/>
        <v>385</v>
      </c>
      <c r="F47" s="80"/>
      <c r="G47" s="81"/>
      <c r="H47" s="80"/>
      <c r="I47" s="81"/>
      <c r="J47" s="81"/>
      <c r="K47" s="79">
        <f t="shared" si="14"/>
        <v>261.32988</v>
      </c>
      <c r="L47" s="385">
        <f t="shared" si="12"/>
        <v>0.6787789090909091</v>
      </c>
    </row>
    <row r="48" spans="1:12" ht="25.5">
      <c r="A48" s="11" t="s">
        <v>18</v>
      </c>
      <c r="B48" s="12" t="s">
        <v>66</v>
      </c>
      <c r="C48" s="12" t="s">
        <v>19</v>
      </c>
      <c r="D48" s="13" t="s">
        <v>64</v>
      </c>
      <c r="E48" s="15">
        <f>185+115+85</f>
        <v>385</v>
      </c>
      <c r="F48" s="9"/>
      <c r="G48" s="10"/>
      <c r="H48" s="9"/>
      <c r="I48" s="10"/>
      <c r="J48" s="10"/>
      <c r="K48" s="440">
        <f>106.56398+154.7659</f>
        <v>261.32988</v>
      </c>
      <c r="L48" s="386">
        <f t="shared" si="12"/>
        <v>0.6787789090909091</v>
      </c>
    </row>
    <row r="49" spans="1:12" ht="12.75" customHeight="1">
      <c r="A49" s="93" t="s">
        <v>67</v>
      </c>
      <c r="B49" s="94"/>
      <c r="C49" s="94"/>
      <c r="D49" s="95" t="s">
        <v>68</v>
      </c>
      <c r="E49" s="246">
        <f>E50+E52+E54+E56+E58</f>
        <v>6217</v>
      </c>
      <c r="F49" s="96"/>
      <c r="G49" s="97"/>
      <c r="H49" s="96"/>
      <c r="I49" s="97"/>
      <c r="J49" s="97"/>
      <c r="K49" s="444">
        <f>K50+K52+K54+K56+K58</f>
        <v>5593.4671499999995</v>
      </c>
      <c r="L49" s="387">
        <f t="shared" si="12"/>
        <v>0.89970518738941607</v>
      </c>
    </row>
    <row r="50" spans="1:12" ht="25.5">
      <c r="A50" s="75" t="s">
        <v>69</v>
      </c>
      <c r="B50" s="76" t="s">
        <v>70</v>
      </c>
      <c r="C50" s="82"/>
      <c r="D50" s="77"/>
      <c r="E50" s="79">
        <f>E51</f>
        <v>1055</v>
      </c>
      <c r="F50" s="80"/>
      <c r="G50" s="81"/>
      <c r="H50" s="80"/>
      <c r="I50" s="81"/>
      <c r="J50" s="81"/>
      <c r="K50" s="79">
        <f>K51</f>
        <v>1055</v>
      </c>
      <c r="L50" s="385">
        <f t="shared" si="12"/>
        <v>1</v>
      </c>
    </row>
    <row r="51" spans="1:12" ht="25.5">
      <c r="A51" s="11" t="s">
        <v>18</v>
      </c>
      <c r="B51" s="12" t="s">
        <v>70</v>
      </c>
      <c r="C51" s="12" t="s">
        <v>19</v>
      </c>
      <c r="D51" s="13" t="s">
        <v>68</v>
      </c>
      <c r="E51" s="15">
        <f>1055</f>
        <v>1055</v>
      </c>
      <c r="F51" s="9"/>
      <c r="G51" s="10"/>
      <c r="H51" s="23">
        <v>-300</v>
      </c>
      <c r="I51" s="10"/>
      <c r="J51" s="10">
        <v>130</v>
      </c>
      <c r="K51" s="15">
        <v>1055</v>
      </c>
      <c r="L51" s="386">
        <f t="shared" si="12"/>
        <v>1</v>
      </c>
    </row>
    <row r="52" spans="1:12" ht="12.75" customHeight="1">
      <c r="A52" s="75" t="s">
        <v>71</v>
      </c>
      <c r="B52" s="76" t="s">
        <v>72</v>
      </c>
      <c r="C52" s="82"/>
      <c r="D52" s="77"/>
      <c r="E52" s="79">
        <f>E53</f>
        <v>100</v>
      </c>
      <c r="F52" s="80"/>
      <c r="G52" s="81"/>
      <c r="H52" s="80"/>
      <c r="I52" s="81"/>
      <c r="J52" s="81"/>
      <c r="K52" s="79">
        <f>K53</f>
        <v>100</v>
      </c>
      <c r="L52" s="385">
        <f t="shared" si="12"/>
        <v>1</v>
      </c>
    </row>
    <row r="53" spans="1:12" ht="25.5">
      <c r="A53" s="11" t="s">
        <v>18</v>
      </c>
      <c r="B53" s="12" t="s">
        <v>72</v>
      </c>
      <c r="C53" s="12" t="s">
        <v>19</v>
      </c>
      <c r="D53" s="13" t="s">
        <v>68</v>
      </c>
      <c r="E53" s="15">
        <f>93.19943+6.80057</f>
        <v>100</v>
      </c>
      <c r="F53" s="9"/>
      <c r="G53" s="10"/>
      <c r="H53" s="9"/>
      <c r="I53" s="10"/>
      <c r="J53" s="10"/>
      <c r="K53" s="15">
        <f>93.19943+6.80057</f>
        <v>100</v>
      </c>
      <c r="L53" s="386">
        <f t="shared" si="12"/>
        <v>1</v>
      </c>
    </row>
    <row r="54" spans="1:12" ht="25.5">
      <c r="A54" s="75" t="s">
        <v>73</v>
      </c>
      <c r="B54" s="76" t="s">
        <v>74</v>
      </c>
      <c r="C54" s="76"/>
      <c r="D54" s="77"/>
      <c r="E54" s="79">
        <f>E55</f>
        <v>50</v>
      </c>
      <c r="F54" s="80"/>
      <c r="G54" s="81"/>
      <c r="H54" s="80"/>
      <c r="I54" s="81"/>
      <c r="J54" s="81"/>
      <c r="K54" s="79">
        <f>K55</f>
        <v>50</v>
      </c>
      <c r="L54" s="385">
        <f t="shared" si="12"/>
        <v>1</v>
      </c>
    </row>
    <row r="55" spans="1:12" ht="25.5">
      <c r="A55" s="11" t="s">
        <v>24</v>
      </c>
      <c r="B55" s="12" t="s">
        <v>74</v>
      </c>
      <c r="C55" s="12" t="s">
        <v>19</v>
      </c>
      <c r="D55" s="13" t="s">
        <v>68</v>
      </c>
      <c r="E55" s="15">
        <v>50</v>
      </c>
      <c r="F55" s="9"/>
      <c r="G55" s="10"/>
      <c r="H55" s="9"/>
      <c r="I55" s="10"/>
      <c r="J55" s="10"/>
      <c r="K55" s="15">
        <v>50</v>
      </c>
      <c r="L55" s="386">
        <f t="shared" si="12"/>
        <v>1</v>
      </c>
    </row>
    <row r="56" spans="1:12" ht="25.5">
      <c r="A56" s="75" t="s">
        <v>75</v>
      </c>
      <c r="B56" s="76" t="s">
        <v>76</v>
      </c>
      <c r="C56" s="82"/>
      <c r="D56" s="77"/>
      <c r="E56" s="79">
        <f>E57</f>
        <v>4512</v>
      </c>
      <c r="F56" s="80"/>
      <c r="G56" s="81"/>
      <c r="H56" s="80"/>
      <c r="I56" s="81"/>
      <c r="J56" s="81"/>
      <c r="K56" s="79">
        <f>K57</f>
        <v>3888.7118499999997</v>
      </c>
      <c r="L56" s="385">
        <f t="shared" si="12"/>
        <v>0.86185989583333322</v>
      </c>
    </row>
    <row r="57" spans="1:12" ht="25.5">
      <c r="A57" s="11" t="s">
        <v>18</v>
      </c>
      <c r="B57" s="12" t="s">
        <v>76</v>
      </c>
      <c r="C57" s="12" t="s">
        <v>19</v>
      </c>
      <c r="D57" s="13" t="s">
        <v>68</v>
      </c>
      <c r="E57" s="19">
        <f>96+190+3120.752+10+132.01+283.828+679.41</f>
        <v>4512</v>
      </c>
      <c r="F57" s="26">
        <v>200</v>
      </c>
      <c r="G57" s="303">
        <v>-330</v>
      </c>
      <c r="H57" s="303">
        <v>300</v>
      </c>
      <c r="I57" s="303"/>
      <c r="J57" s="303">
        <f>500+100+35+40+5+100+50+100</f>
        <v>930</v>
      </c>
      <c r="K57" s="598">
        <f>96+190+2779.78471+10+283.828+529.09914</f>
        <v>3888.7118499999997</v>
      </c>
      <c r="L57" s="388">
        <f t="shared" si="12"/>
        <v>0.86185989583333322</v>
      </c>
    </row>
    <row r="58" spans="1:12" ht="25.5">
      <c r="A58" s="75" t="s">
        <v>77</v>
      </c>
      <c r="B58" s="76" t="s">
        <v>78</v>
      </c>
      <c r="C58" s="76"/>
      <c r="D58" s="77"/>
      <c r="E58" s="79">
        <f>E59</f>
        <v>500</v>
      </c>
      <c r="F58" s="83"/>
      <c r="G58" s="84"/>
      <c r="H58" s="85"/>
      <c r="I58" s="84"/>
      <c r="J58" s="84"/>
      <c r="K58" s="79">
        <f>K59</f>
        <v>499.75529999999998</v>
      </c>
      <c r="L58" s="385">
        <f t="shared" si="12"/>
        <v>0.99951059999999992</v>
      </c>
    </row>
    <row r="59" spans="1:12" ht="25.5">
      <c r="A59" s="11" t="s">
        <v>18</v>
      </c>
      <c r="B59" s="12" t="s">
        <v>78</v>
      </c>
      <c r="C59" s="12" t="s">
        <v>19</v>
      </c>
      <c r="D59" s="13" t="s">
        <v>68</v>
      </c>
      <c r="E59" s="19">
        <f>99.5+301.5+99</f>
        <v>500</v>
      </c>
      <c r="F59" s="20"/>
      <c r="G59" s="24"/>
      <c r="H59" s="25"/>
      <c r="I59" s="24"/>
      <c r="J59" s="24">
        <f>200+300</f>
        <v>500</v>
      </c>
      <c r="K59" s="534">
        <f>99.5+301.2553+99</f>
        <v>499.75529999999998</v>
      </c>
      <c r="L59" s="388">
        <f t="shared" si="12"/>
        <v>0.99951059999999992</v>
      </c>
    </row>
    <row r="60" spans="1:12" ht="15" customHeight="1">
      <c r="A60" s="93" t="s">
        <v>79</v>
      </c>
      <c r="B60" s="94"/>
      <c r="C60" s="94"/>
      <c r="D60" s="95" t="s">
        <v>80</v>
      </c>
      <c r="E60" s="246">
        <f>E61+E63+E65+E67+E69</f>
        <v>7210.7894699999997</v>
      </c>
      <c r="F60" s="246">
        <f t="shared" ref="F60:K60" si="15">F61+F63+F65+F67+F69</f>
        <v>0</v>
      </c>
      <c r="G60" s="246">
        <f t="shared" si="15"/>
        <v>0</v>
      </c>
      <c r="H60" s="246">
        <f t="shared" si="15"/>
        <v>0</v>
      </c>
      <c r="I60" s="246">
        <f t="shared" si="15"/>
        <v>0</v>
      </c>
      <c r="J60" s="246">
        <f t="shared" si="15"/>
        <v>0</v>
      </c>
      <c r="K60" s="246">
        <f t="shared" si="15"/>
        <v>6535.8631100000002</v>
      </c>
      <c r="L60" s="387">
        <f t="shared" si="12"/>
        <v>0.90640049015326485</v>
      </c>
    </row>
    <row r="61" spans="1:12" ht="38.25">
      <c r="A61" s="75" t="s">
        <v>81</v>
      </c>
      <c r="B61" s="76" t="s">
        <v>82</v>
      </c>
      <c r="C61" s="76"/>
      <c r="D61" s="77"/>
      <c r="E61" s="79">
        <f>E62</f>
        <v>1548</v>
      </c>
      <c r="F61" s="80"/>
      <c r="G61" s="81"/>
      <c r="H61" s="80"/>
      <c r="I61" s="81"/>
      <c r="J61" s="81"/>
      <c r="K61" s="79">
        <f>K62</f>
        <v>1324.9690000000001</v>
      </c>
      <c r="L61" s="385">
        <f t="shared" si="12"/>
        <v>0.85592312661498715</v>
      </c>
    </row>
    <row r="62" spans="1:12" ht="25.5">
      <c r="A62" s="11" t="s">
        <v>18</v>
      </c>
      <c r="B62" s="12" t="s">
        <v>82</v>
      </c>
      <c r="C62" s="12" t="s">
        <v>19</v>
      </c>
      <c r="D62" s="13" t="s">
        <v>80</v>
      </c>
      <c r="E62" s="15">
        <f>612.9186+935.0814</f>
        <v>1548</v>
      </c>
      <c r="F62" s="9"/>
      <c r="G62" s="10"/>
      <c r="H62" s="9"/>
      <c r="I62" s="10"/>
      <c r="J62" s="10"/>
      <c r="K62" s="440">
        <f>489.9176+835.0514</f>
        <v>1324.9690000000001</v>
      </c>
      <c r="L62" s="386">
        <f t="shared" si="12"/>
        <v>0.85592312661498715</v>
      </c>
    </row>
    <row r="63" spans="1:12" ht="25.5">
      <c r="A63" s="75" t="s">
        <v>83</v>
      </c>
      <c r="B63" s="76" t="s">
        <v>84</v>
      </c>
      <c r="C63" s="76"/>
      <c r="D63" s="77"/>
      <c r="E63" s="79">
        <f>E64</f>
        <v>100</v>
      </c>
      <c r="F63" s="80"/>
      <c r="G63" s="81"/>
      <c r="H63" s="80"/>
      <c r="I63" s="81"/>
      <c r="J63" s="81"/>
      <c r="K63" s="79">
        <f>K64</f>
        <v>100</v>
      </c>
      <c r="L63" s="385">
        <f t="shared" si="12"/>
        <v>1</v>
      </c>
    </row>
    <row r="64" spans="1:12" ht="25.5">
      <c r="A64" s="11" t="s">
        <v>18</v>
      </c>
      <c r="B64" s="12" t="s">
        <v>84</v>
      </c>
      <c r="C64" s="12" t="s">
        <v>19</v>
      </c>
      <c r="D64" s="13" t="s">
        <v>80</v>
      </c>
      <c r="E64" s="15">
        <v>100</v>
      </c>
      <c r="F64" s="9"/>
      <c r="G64" s="10"/>
      <c r="H64" s="9"/>
      <c r="I64" s="10"/>
      <c r="J64" s="10"/>
      <c r="K64" s="15">
        <v>100</v>
      </c>
      <c r="L64" s="386">
        <f t="shared" si="12"/>
        <v>1</v>
      </c>
    </row>
    <row r="65" spans="1:12" ht="25.5">
      <c r="A65" s="75" t="s">
        <v>85</v>
      </c>
      <c r="B65" s="76" t="s">
        <v>86</v>
      </c>
      <c r="C65" s="76"/>
      <c r="D65" s="77"/>
      <c r="E65" s="79">
        <f>E66</f>
        <v>3813.2894700000002</v>
      </c>
      <c r="F65" s="80"/>
      <c r="G65" s="81"/>
      <c r="H65" s="80"/>
      <c r="I65" s="81"/>
      <c r="J65" s="81"/>
      <c r="K65" s="79">
        <f>K66</f>
        <v>3361.3941100000002</v>
      </c>
      <c r="L65" s="385">
        <f t="shared" si="12"/>
        <v>0.88149460890520859</v>
      </c>
    </row>
    <row r="66" spans="1:12" ht="25.5">
      <c r="A66" s="16" t="s">
        <v>18</v>
      </c>
      <c r="B66" s="17" t="s">
        <v>86</v>
      </c>
      <c r="C66" s="17" t="s">
        <v>19</v>
      </c>
      <c r="D66" s="18" t="s">
        <v>80</v>
      </c>
      <c r="E66" s="21">
        <v>3813.2894700000002</v>
      </c>
      <c r="F66" s="9"/>
      <c r="G66" s="10"/>
      <c r="H66" s="26">
        <v>-217.66</v>
      </c>
      <c r="I66" s="27"/>
      <c r="J66" s="28">
        <f>78.94947</f>
        <v>78.949470000000005</v>
      </c>
      <c r="K66" s="21">
        <v>3361.3941100000002</v>
      </c>
      <c r="L66" s="389">
        <f t="shared" si="12"/>
        <v>0.88149460890520859</v>
      </c>
    </row>
    <row r="67" spans="1:12" ht="25.5">
      <c r="A67" s="87" t="s">
        <v>563</v>
      </c>
      <c r="B67" s="76" t="s">
        <v>562</v>
      </c>
      <c r="C67" s="76" t="s">
        <v>19</v>
      </c>
      <c r="D67" s="76"/>
      <c r="E67" s="464">
        <f>E68</f>
        <v>800</v>
      </c>
      <c r="F67" s="80"/>
      <c r="G67" s="81"/>
      <c r="H67" s="83"/>
      <c r="I67" s="86"/>
      <c r="J67" s="81"/>
      <c r="K67" s="78">
        <f>K68</f>
        <v>800</v>
      </c>
      <c r="L67" s="391">
        <f t="shared" ref="L67:L68" si="16">K67/E67</f>
        <v>1</v>
      </c>
    </row>
    <row r="68" spans="1:12" ht="25.5">
      <c r="A68" s="29" t="s">
        <v>18</v>
      </c>
      <c r="B68" s="12" t="s">
        <v>562</v>
      </c>
      <c r="C68" s="12" t="s">
        <v>19</v>
      </c>
      <c r="D68" s="17" t="s">
        <v>80</v>
      </c>
      <c r="E68" s="535">
        <v>800</v>
      </c>
      <c r="F68" s="9"/>
      <c r="G68" s="10"/>
      <c r="H68" s="26"/>
      <c r="I68" s="10">
        <v>949.5</v>
      </c>
      <c r="J68" s="10">
        <f>800</f>
        <v>800</v>
      </c>
      <c r="K68" s="42">
        <v>800</v>
      </c>
      <c r="L68" s="403">
        <f t="shared" si="16"/>
        <v>1</v>
      </c>
    </row>
    <row r="69" spans="1:12" ht="25.5">
      <c r="A69" s="87" t="s">
        <v>85</v>
      </c>
      <c r="B69" s="76" t="s">
        <v>87</v>
      </c>
      <c r="C69" s="76" t="s">
        <v>19</v>
      </c>
      <c r="D69" s="76"/>
      <c r="E69" s="464">
        <f>E70</f>
        <v>949.5</v>
      </c>
      <c r="F69" s="540"/>
      <c r="G69" s="541"/>
      <c r="H69" s="542"/>
      <c r="I69" s="543"/>
      <c r="J69" s="541"/>
      <c r="K69" s="78">
        <f>K70</f>
        <v>949.5</v>
      </c>
      <c r="L69" s="391">
        <f t="shared" si="12"/>
        <v>1</v>
      </c>
    </row>
    <row r="70" spans="1:12" ht="26.25" thickBot="1">
      <c r="A70" s="29" t="s">
        <v>18</v>
      </c>
      <c r="B70" s="12" t="s">
        <v>87</v>
      </c>
      <c r="C70" s="12" t="s">
        <v>19</v>
      </c>
      <c r="D70" s="536" t="s">
        <v>80</v>
      </c>
      <c r="E70" s="537">
        <v>949.5</v>
      </c>
      <c r="F70" s="9"/>
      <c r="G70" s="10"/>
      <c r="H70" s="26"/>
      <c r="I70" s="10">
        <v>949.5</v>
      </c>
      <c r="J70" s="10">
        <f>800</f>
        <v>800</v>
      </c>
      <c r="K70" s="538">
        <v>949.5</v>
      </c>
      <c r="L70" s="539">
        <f t="shared" si="12"/>
        <v>1</v>
      </c>
    </row>
    <row r="71" spans="1:12" ht="14.25">
      <c r="A71" s="230" t="s">
        <v>88</v>
      </c>
      <c r="B71" s="649" t="s">
        <v>89</v>
      </c>
      <c r="C71" s="641"/>
      <c r="D71" s="643"/>
      <c r="E71" s="628">
        <f>E73</f>
        <v>235</v>
      </c>
      <c r="F71" s="231"/>
      <c r="G71" s="131"/>
      <c r="H71" s="231"/>
      <c r="I71" s="131"/>
      <c r="J71" s="131"/>
      <c r="K71" s="628">
        <f>K73</f>
        <v>220.22</v>
      </c>
      <c r="L71" s="622">
        <f t="shared" si="12"/>
        <v>0.9371063829787234</v>
      </c>
    </row>
    <row r="72" spans="1:12" ht="39" thickBot="1">
      <c r="A72" s="232" t="s">
        <v>90</v>
      </c>
      <c r="B72" s="650"/>
      <c r="C72" s="642"/>
      <c r="D72" s="644"/>
      <c r="E72" s="629"/>
      <c r="F72" s="231"/>
      <c r="G72" s="131"/>
      <c r="H72" s="231"/>
      <c r="I72" s="131"/>
      <c r="J72" s="131"/>
      <c r="K72" s="629"/>
      <c r="L72" s="623"/>
    </row>
    <row r="73" spans="1:12" ht="12.75" customHeight="1">
      <c r="A73" s="247" t="s">
        <v>91</v>
      </c>
      <c r="B73" s="248"/>
      <c r="C73" s="248" t="s">
        <v>14</v>
      </c>
      <c r="D73" s="249" t="s">
        <v>94</v>
      </c>
      <c r="E73" s="250">
        <f t="shared" ref="E73:E74" si="17">E74</f>
        <v>235</v>
      </c>
      <c r="F73" s="96"/>
      <c r="G73" s="97"/>
      <c r="H73" s="96"/>
      <c r="I73" s="97"/>
      <c r="J73" s="97"/>
      <c r="K73" s="250">
        <f t="shared" ref="K73:K74" si="18">K74</f>
        <v>220.22</v>
      </c>
      <c r="L73" s="393">
        <f>K73/E73</f>
        <v>0.9371063829787234</v>
      </c>
    </row>
    <row r="74" spans="1:12" ht="25.5">
      <c r="A74" s="75" t="s">
        <v>92</v>
      </c>
      <c r="B74" s="76" t="s">
        <v>93</v>
      </c>
      <c r="C74" s="76"/>
      <c r="D74" s="77"/>
      <c r="E74" s="79">
        <f t="shared" si="17"/>
        <v>235</v>
      </c>
      <c r="F74" s="80"/>
      <c r="G74" s="81"/>
      <c r="H74" s="80"/>
      <c r="I74" s="81"/>
      <c r="J74" s="81"/>
      <c r="K74" s="79">
        <f t="shared" si="18"/>
        <v>220.22</v>
      </c>
      <c r="L74" s="385">
        <f>K74/E74</f>
        <v>0.9371063829787234</v>
      </c>
    </row>
    <row r="75" spans="1:12" ht="26.25" thickBot="1">
      <c r="A75" s="11" t="s">
        <v>18</v>
      </c>
      <c r="B75" s="12" t="s">
        <v>93</v>
      </c>
      <c r="C75" s="12" t="s">
        <v>19</v>
      </c>
      <c r="D75" s="13" t="s">
        <v>94</v>
      </c>
      <c r="E75" s="19">
        <f>25+60.95+149.05</f>
        <v>235</v>
      </c>
      <c r="F75" s="9"/>
      <c r="G75" s="31">
        <v>100</v>
      </c>
      <c r="H75" s="9"/>
      <c r="I75" s="10"/>
      <c r="J75" s="10">
        <v>15</v>
      </c>
      <c r="K75" s="533">
        <f>18.3+60.95+140.97</f>
        <v>220.22</v>
      </c>
      <c r="L75" s="388">
        <f>K75/E75</f>
        <v>0.9371063829787234</v>
      </c>
    </row>
    <row r="76" spans="1:12" ht="14.25">
      <c r="A76" s="230" t="s">
        <v>95</v>
      </c>
      <c r="B76" s="639" t="s">
        <v>96</v>
      </c>
      <c r="C76" s="641"/>
      <c r="D76" s="643"/>
      <c r="E76" s="637">
        <f>E78+E83</f>
        <v>2365.4252700000002</v>
      </c>
      <c r="F76" s="231"/>
      <c r="G76" s="131"/>
      <c r="H76" s="231"/>
      <c r="I76" s="131"/>
      <c r="J76" s="131"/>
      <c r="K76" s="637">
        <f>K78+K83</f>
        <v>441.90240000000006</v>
      </c>
      <c r="L76" s="626">
        <f>K76/E76</f>
        <v>0.18681731594082446</v>
      </c>
    </row>
    <row r="77" spans="1:12" ht="39" thickBot="1">
      <c r="A77" s="233" t="s">
        <v>97</v>
      </c>
      <c r="B77" s="640"/>
      <c r="C77" s="642"/>
      <c r="D77" s="644"/>
      <c r="E77" s="638"/>
      <c r="F77" s="231"/>
      <c r="G77" s="131"/>
      <c r="H77" s="231"/>
      <c r="I77" s="131"/>
      <c r="J77" s="131"/>
      <c r="K77" s="638"/>
      <c r="L77" s="627"/>
    </row>
    <row r="78" spans="1:12">
      <c r="A78" s="247" t="s">
        <v>98</v>
      </c>
      <c r="B78" s="248"/>
      <c r="C78" s="248"/>
      <c r="D78" s="249" t="s">
        <v>99</v>
      </c>
      <c r="E78" s="250">
        <f>E79+E81</f>
        <v>2030</v>
      </c>
      <c r="F78" s="96"/>
      <c r="G78" s="97"/>
      <c r="H78" s="96"/>
      <c r="I78" s="97"/>
      <c r="J78" s="97"/>
      <c r="K78" s="250">
        <f>K79+K81</f>
        <v>108.17999999999999</v>
      </c>
      <c r="L78" s="393">
        <f t="shared" ref="L78:L110" si="19">K78/E78</f>
        <v>5.3290640394088665E-2</v>
      </c>
    </row>
    <row r="79" spans="1:12" ht="25.5">
      <c r="A79" s="75" t="s">
        <v>100</v>
      </c>
      <c r="B79" s="76" t="s">
        <v>101</v>
      </c>
      <c r="C79" s="76" t="s">
        <v>14</v>
      </c>
      <c r="D79" s="77"/>
      <c r="E79" s="79">
        <f>E80</f>
        <v>130</v>
      </c>
      <c r="F79" s="80"/>
      <c r="G79" s="81"/>
      <c r="H79" s="80"/>
      <c r="I79" s="81"/>
      <c r="J79" s="81"/>
      <c r="K79" s="79">
        <f>K80</f>
        <v>108.17999999999999</v>
      </c>
      <c r="L79" s="385">
        <f t="shared" si="19"/>
        <v>0.83215384615384613</v>
      </c>
    </row>
    <row r="80" spans="1:12" ht="25.5">
      <c r="A80" s="11" t="s">
        <v>18</v>
      </c>
      <c r="B80" s="12" t="s">
        <v>101</v>
      </c>
      <c r="C80" s="12" t="s">
        <v>19</v>
      </c>
      <c r="D80" s="13" t="s">
        <v>99</v>
      </c>
      <c r="E80" s="15">
        <f>10+90+30</f>
        <v>130</v>
      </c>
      <c r="F80" s="9"/>
      <c r="G80" s="10"/>
      <c r="H80" s="9"/>
      <c r="I80" s="10"/>
      <c r="J80" s="10"/>
      <c r="K80" s="15">
        <f>7.8+75.88+24.5</f>
        <v>108.17999999999999</v>
      </c>
      <c r="L80" s="386">
        <f t="shared" si="19"/>
        <v>0.83215384615384613</v>
      </c>
    </row>
    <row r="81" spans="1:12">
      <c r="A81" s="75" t="s">
        <v>102</v>
      </c>
      <c r="B81" s="76" t="s">
        <v>103</v>
      </c>
      <c r="C81" s="76"/>
      <c r="D81" s="77"/>
      <c r="E81" s="79">
        <f t="shared" ref="E81:J81" si="20">E82</f>
        <v>1900</v>
      </c>
      <c r="F81" s="79">
        <f t="shared" si="20"/>
        <v>0</v>
      </c>
      <c r="G81" s="79">
        <f t="shared" si="20"/>
        <v>0</v>
      </c>
      <c r="H81" s="79">
        <f t="shared" si="20"/>
        <v>0</v>
      </c>
      <c r="I81" s="79">
        <f t="shared" si="20"/>
        <v>0</v>
      </c>
      <c r="J81" s="79">
        <f t="shared" si="20"/>
        <v>0</v>
      </c>
      <c r="K81" s="79">
        <f>K82</f>
        <v>0</v>
      </c>
      <c r="L81" s="385">
        <f t="shared" si="19"/>
        <v>0</v>
      </c>
    </row>
    <row r="82" spans="1:12" ht="17.25" customHeight="1" thickBot="1">
      <c r="A82" s="32" t="s">
        <v>104</v>
      </c>
      <c r="B82" s="33" t="s">
        <v>103</v>
      </c>
      <c r="C82" s="33" t="s">
        <v>105</v>
      </c>
      <c r="D82" s="34" t="s">
        <v>99</v>
      </c>
      <c r="E82" s="22">
        <v>1900</v>
      </c>
      <c r="F82" s="9"/>
      <c r="G82" s="10"/>
      <c r="H82" s="9"/>
      <c r="I82" s="10"/>
      <c r="J82" s="10"/>
      <c r="K82" s="22">
        <v>0</v>
      </c>
      <c r="L82" s="390">
        <f t="shared" si="19"/>
        <v>0</v>
      </c>
    </row>
    <row r="83" spans="1:12">
      <c r="A83" s="93" t="s">
        <v>106</v>
      </c>
      <c r="B83" s="94"/>
      <c r="C83" s="94"/>
      <c r="D83" s="95" t="s">
        <v>107</v>
      </c>
      <c r="E83" s="250">
        <f>E84+E86+E88</f>
        <v>335.42527000000001</v>
      </c>
      <c r="F83" s="96"/>
      <c r="G83" s="251">
        <v>20</v>
      </c>
      <c r="H83" s="96"/>
      <c r="I83" s="97"/>
      <c r="J83" s="97"/>
      <c r="K83" s="250">
        <f>K84+K86+K88</f>
        <v>333.72240000000005</v>
      </c>
      <c r="L83" s="393">
        <f t="shared" si="19"/>
        <v>0.99492325071393706</v>
      </c>
    </row>
    <row r="84" spans="1:12">
      <c r="A84" s="75" t="s">
        <v>108</v>
      </c>
      <c r="B84" s="76" t="s">
        <v>109</v>
      </c>
      <c r="C84" s="76"/>
      <c r="D84" s="77"/>
      <c r="E84" s="79">
        <f>E85</f>
        <v>70</v>
      </c>
      <c r="F84" s="80"/>
      <c r="G84" s="81"/>
      <c r="H84" s="80"/>
      <c r="I84" s="81"/>
      <c r="J84" s="81"/>
      <c r="K84" s="79">
        <f>K85</f>
        <v>68.626000000000005</v>
      </c>
      <c r="L84" s="385">
        <f t="shared" si="19"/>
        <v>0.98037142857142867</v>
      </c>
    </row>
    <row r="85" spans="1:12" ht="25.5">
      <c r="A85" s="11" t="s">
        <v>18</v>
      </c>
      <c r="B85" s="12" t="s">
        <v>109</v>
      </c>
      <c r="C85" s="12" t="s">
        <v>19</v>
      </c>
      <c r="D85" s="13" t="s">
        <v>107</v>
      </c>
      <c r="E85" s="19">
        <v>70</v>
      </c>
      <c r="F85" s="9"/>
      <c r="G85" s="31">
        <v>120</v>
      </c>
      <c r="H85" s="9"/>
      <c r="I85" s="10"/>
      <c r="J85" s="10"/>
      <c r="K85" s="19">
        <f>30+38.626</f>
        <v>68.626000000000005</v>
      </c>
      <c r="L85" s="388">
        <f t="shared" si="19"/>
        <v>0.98037142857142867</v>
      </c>
    </row>
    <row r="86" spans="1:12" ht="25.5">
      <c r="A86" s="75" t="s">
        <v>110</v>
      </c>
      <c r="B86" s="88" t="s">
        <v>111</v>
      </c>
      <c r="C86" s="88"/>
      <c r="D86" s="89"/>
      <c r="E86" s="90">
        <f>E87</f>
        <v>220</v>
      </c>
      <c r="F86" s="80"/>
      <c r="G86" s="81"/>
      <c r="H86" s="80"/>
      <c r="I86" s="81"/>
      <c r="J86" s="81"/>
      <c r="K86" s="90">
        <f>K87</f>
        <v>219.67113000000001</v>
      </c>
      <c r="L86" s="394">
        <f t="shared" si="19"/>
        <v>0.99850513636363636</v>
      </c>
    </row>
    <row r="87" spans="1:12" ht="38.25">
      <c r="A87" s="16" t="s">
        <v>112</v>
      </c>
      <c r="B87" s="17" t="s">
        <v>111</v>
      </c>
      <c r="C87" s="17" t="s">
        <v>113</v>
      </c>
      <c r="D87" s="18" t="s">
        <v>107</v>
      </c>
      <c r="E87" s="22">
        <v>220</v>
      </c>
      <c r="F87" s="9"/>
      <c r="G87" s="10"/>
      <c r="H87" s="9"/>
      <c r="I87" s="10"/>
      <c r="J87" s="10"/>
      <c r="K87" s="22">
        <v>219.67113000000001</v>
      </c>
      <c r="L87" s="390">
        <f t="shared" si="19"/>
        <v>0.99850513636363636</v>
      </c>
    </row>
    <row r="88" spans="1:12" ht="25.5">
      <c r="A88" s="75" t="s">
        <v>114</v>
      </c>
      <c r="B88" s="76" t="s">
        <v>115</v>
      </c>
      <c r="C88" s="76"/>
      <c r="D88" s="77"/>
      <c r="E88" s="79">
        <f>E89</f>
        <v>45.425269999999998</v>
      </c>
      <c r="F88" s="80"/>
      <c r="G88" s="81"/>
      <c r="H88" s="80"/>
      <c r="I88" s="81"/>
      <c r="J88" s="81"/>
      <c r="K88" s="79">
        <f>K89</f>
        <v>45.425269999999998</v>
      </c>
      <c r="L88" s="385">
        <f t="shared" si="19"/>
        <v>1</v>
      </c>
    </row>
    <row r="89" spans="1:12" ht="39" thickBot="1">
      <c r="A89" s="11" t="s">
        <v>112</v>
      </c>
      <c r="B89" s="12" t="s">
        <v>115</v>
      </c>
      <c r="C89" s="12" t="s">
        <v>113</v>
      </c>
      <c r="D89" s="13" t="s">
        <v>107</v>
      </c>
      <c r="E89" s="15">
        <v>45.425269999999998</v>
      </c>
      <c r="F89" s="9"/>
      <c r="G89" s="10"/>
      <c r="H89" s="9"/>
      <c r="I89" s="10">
        <v>1.7010000000000001</v>
      </c>
      <c r="J89" s="35">
        <v>-1.9337299999999999</v>
      </c>
      <c r="K89" s="15">
        <v>45.425269999999998</v>
      </c>
      <c r="L89" s="386">
        <f t="shared" si="19"/>
        <v>1</v>
      </c>
    </row>
    <row r="90" spans="1:12" ht="15" thickBot="1">
      <c r="A90" s="655" t="s">
        <v>116</v>
      </c>
      <c r="B90" s="656"/>
      <c r="C90" s="656"/>
      <c r="D90" s="656"/>
      <c r="E90" s="67">
        <f>E91+E106</f>
        <v>14919.17283</v>
      </c>
      <c r="F90" s="57"/>
      <c r="G90" s="58"/>
      <c r="H90" s="57"/>
      <c r="I90" s="58"/>
      <c r="J90" s="69"/>
      <c r="K90" s="68">
        <f>K91+K106</f>
        <v>14150.68477</v>
      </c>
      <c r="L90" s="395">
        <f t="shared" si="19"/>
        <v>0.94848990163484825</v>
      </c>
    </row>
    <row r="91" spans="1:12" ht="15.75" customHeight="1">
      <c r="A91" s="70" t="s">
        <v>117</v>
      </c>
      <c r="B91" s="71" t="s">
        <v>118</v>
      </c>
      <c r="C91" s="71"/>
      <c r="D91" s="72"/>
      <c r="E91" s="74">
        <f>E92+E97</f>
        <v>10540.46</v>
      </c>
      <c r="F91" s="59"/>
      <c r="G91" s="60"/>
      <c r="H91" s="59"/>
      <c r="I91" s="60"/>
      <c r="J91" s="60"/>
      <c r="K91" s="74">
        <f>K92+K97</f>
        <v>10126.747139999999</v>
      </c>
      <c r="L91" s="396">
        <f t="shared" si="19"/>
        <v>0.96075001850014141</v>
      </c>
    </row>
    <row r="92" spans="1:12" ht="25.5">
      <c r="A92" s="63" t="s">
        <v>119</v>
      </c>
      <c r="B92" s="64" t="s">
        <v>120</v>
      </c>
      <c r="C92" s="64" t="s">
        <v>14</v>
      </c>
      <c r="D92" s="65"/>
      <c r="E92" s="66">
        <f>E93+E95</f>
        <v>7362.37</v>
      </c>
      <c r="F92" s="61"/>
      <c r="G92" s="62"/>
      <c r="H92" s="61"/>
      <c r="I92" s="62"/>
      <c r="J92" s="62"/>
      <c r="K92" s="66">
        <f>K93+K95</f>
        <v>7255.9206199999999</v>
      </c>
      <c r="L92" s="397">
        <f t="shared" si="19"/>
        <v>0.98554142484009899</v>
      </c>
    </row>
    <row r="93" spans="1:12" ht="25.5">
      <c r="A93" s="252" t="s">
        <v>121</v>
      </c>
      <c r="B93" s="253" t="s">
        <v>122</v>
      </c>
      <c r="C93" s="253" t="s">
        <v>14</v>
      </c>
      <c r="D93" s="254"/>
      <c r="E93" s="255">
        <f>E94</f>
        <v>5931.16</v>
      </c>
      <c r="F93" s="240"/>
      <c r="G93" s="241"/>
      <c r="H93" s="240"/>
      <c r="I93" s="241"/>
      <c r="J93" s="241"/>
      <c r="K93" s="255">
        <f>K94</f>
        <v>5895.9605799999999</v>
      </c>
      <c r="L93" s="398">
        <f t="shared" si="19"/>
        <v>0.994065339663742</v>
      </c>
    </row>
    <row r="94" spans="1:12" ht="25.5">
      <c r="A94" s="11" t="s">
        <v>123</v>
      </c>
      <c r="B94" s="12" t="s">
        <v>122</v>
      </c>
      <c r="C94" s="12" t="s">
        <v>124</v>
      </c>
      <c r="D94" s="13" t="s">
        <v>125</v>
      </c>
      <c r="E94" s="37">
        <f>4488.76+1442.4</f>
        <v>5931.16</v>
      </c>
      <c r="F94" s="9"/>
      <c r="G94" s="10"/>
      <c r="H94" s="9"/>
      <c r="I94" s="10"/>
      <c r="J94" s="58">
        <v>120</v>
      </c>
      <c r="K94" s="546">
        <f>4458.92014+1437.04044</f>
        <v>5895.9605799999999</v>
      </c>
      <c r="L94" s="399">
        <f t="shared" si="19"/>
        <v>0.994065339663742</v>
      </c>
    </row>
    <row r="95" spans="1:12" ht="25.5">
      <c r="A95" s="252" t="s">
        <v>126</v>
      </c>
      <c r="B95" s="253" t="s">
        <v>127</v>
      </c>
      <c r="C95" s="253" t="s">
        <v>14</v>
      </c>
      <c r="D95" s="254"/>
      <c r="E95" s="255">
        <f>E96</f>
        <v>1431.21</v>
      </c>
      <c r="F95" s="240"/>
      <c r="G95" s="241"/>
      <c r="H95" s="240"/>
      <c r="I95" s="241"/>
      <c r="J95" s="241"/>
      <c r="K95" s="255">
        <f>K96</f>
        <v>1359.9600400000002</v>
      </c>
      <c r="L95" s="398">
        <f t="shared" si="19"/>
        <v>0.95021697724303222</v>
      </c>
    </row>
    <row r="96" spans="1:12" ht="25.5">
      <c r="A96" s="11" t="s">
        <v>123</v>
      </c>
      <c r="B96" s="12" t="s">
        <v>127</v>
      </c>
      <c r="C96" s="12" t="s">
        <v>124</v>
      </c>
      <c r="D96" s="13" t="s">
        <v>125</v>
      </c>
      <c r="E96" s="544">
        <f>1112.89+318.32</f>
        <v>1431.21</v>
      </c>
      <c r="F96" s="9"/>
      <c r="G96" s="10"/>
      <c r="H96" s="9"/>
      <c r="I96" s="10"/>
      <c r="J96" s="58">
        <v>80</v>
      </c>
      <c r="K96" s="545">
        <f>1089.17782+270.78222</f>
        <v>1359.9600400000002</v>
      </c>
      <c r="L96" s="399">
        <f t="shared" si="19"/>
        <v>0.95021697724303222</v>
      </c>
    </row>
    <row r="97" spans="1:12">
      <c r="A97" s="63" t="s">
        <v>128</v>
      </c>
      <c r="B97" s="64" t="s">
        <v>129</v>
      </c>
      <c r="C97" s="64"/>
      <c r="D97" s="65"/>
      <c r="E97" s="66">
        <f>E98+E102+E104</f>
        <v>3178.09</v>
      </c>
      <c r="F97" s="61"/>
      <c r="G97" s="62"/>
      <c r="H97" s="61"/>
      <c r="I97" s="62"/>
      <c r="J97" s="62"/>
      <c r="K97" s="66">
        <f>K98+K102+K104</f>
        <v>2870.8265199999996</v>
      </c>
      <c r="L97" s="397">
        <f t="shared" si="19"/>
        <v>0.90331819426133286</v>
      </c>
    </row>
    <row r="98" spans="1:12" ht="25.5">
      <c r="A98" s="252" t="s">
        <v>130</v>
      </c>
      <c r="B98" s="253" t="s">
        <v>131</v>
      </c>
      <c r="C98" s="253" t="s">
        <v>14</v>
      </c>
      <c r="D98" s="254"/>
      <c r="E98" s="255">
        <f>E99+E101+E100</f>
        <v>3067.09</v>
      </c>
      <c r="F98" s="255">
        <f t="shared" ref="F98:K98" si="21">F99+F101+F100</f>
        <v>0</v>
      </c>
      <c r="G98" s="255">
        <f t="shared" si="21"/>
        <v>0</v>
      </c>
      <c r="H98" s="255">
        <f t="shared" si="21"/>
        <v>0</v>
      </c>
      <c r="I98" s="255">
        <f t="shared" si="21"/>
        <v>0</v>
      </c>
      <c r="J98" s="255">
        <f t="shared" si="21"/>
        <v>-190</v>
      </c>
      <c r="K98" s="255">
        <f t="shared" si="21"/>
        <v>2869.8265199999996</v>
      </c>
      <c r="L98" s="398">
        <f t="shared" si="19"/>
        <v>0.93568383060164506</v>
      </c>
    </row>
    <row r="99" spans="1:12" ht="25.5">
      <c r="A99" s="11" t="s">
        <v>123</v>
      </c>
      <c r="B99" s="12" t="s">
        <v>131</v>
      </c>
      <c r="C99" s="12" t="s">
        <v>124</v>
      </c>
      <c r="D99" s="13" t="s">
        <v>125</v>
      </c>
      <c r="E99" s="37">
        <f>1022.32+344.91</f>
        <v>1367.23</v>
      </c>
      <c r="F99" s="9"/>
      <c r="G99" s="10"/>
      <c r="H99" s="9"/>
      <c r="I99" s="10"/>
      <c r="J99" s="58">
        <f>-155-45</f>
        <v>-200</v>
      </c>
      <c r="K99" s="545">
        <f>1003.13042+300.60933</f>
        <v>1303.73975</v>
      </c>
      <c r="L99" s="399">
        <f t="shared" si="19"/>
        <v>0.95356286067450247</v>
      </c>
    </row>
    <row r="100" spans="1:12" ht="27.75" customHeight="1">
      <c r="A100" s="11" t="s">
        <v>552</v>
      </c>
      <c r="B100" s="12" t="s">
        <v>550</v>
      </c>
      <c r="C100" s="12" t="s">
        <v>551</v>
      </c>
      <c r="D100" s="13" t="s">
        <v>125</v>
      </c>
      <c r="E100" s="37">
        <v>0.5</v>
      </c>
      <c r="F100" s="9"/>
      <c r="G100" s="10"/>
      <c r="H100" s="9"/>
      <c r="I100" s="10"/>
      <c r="J100" s="58"/>
      <c r="K100" s="37">
        <v>0.37752000000000002</v>
      </c>
      <c r="L100" s="399">
        <f t="shared" si="19"/>
        <v>0.75504000000000004</v>
      </c>
    </row>
    <row r="101" spans="1:12" ht="25.5">
      <c r="A101" s="11" t="s">
        <v>18</v>
      </c>
      <c r="B101" s="12" t="s">
        <v>131</v>
      </c>
      <c r="C101" s="12" t="s">
        <v>19</v>
      </c>
      <c r="D101" s="13" t="s">
        <v>125</v>
      </c>
      <c r="E101" s="547">
        <f>97.27+7.5+64.16+137.98+6.1+392.7+79+3+323.89+581.26+6.5</f>
        <v>1699.36</v>
      </c>
      <c r="F101" s="36"/>
      <c r="G101" s="10"/>
      <c r="H101" s="9"/>
      <c r="I101" s="10"/>
      <c r="J101" s="10">
        <f>10</f>
        <v>10</v>
      </c>
      <c r="K101" s="548">
        <f>88.65232+6.808+64.16+137.39872+5.07767+355.37031+71.18122+1.52885+320.82221+508.20995+6.5</f>
        <v>1565.7092499999999</v>
      </c>
      <c r="L101" s="400">
        <f t="shared" si="19"/>
        <v>0.92135230322003581</v>
      </c>
    </row>
    <row r="102" spans="1:12" ht="25.5">
      <c r="A102" s="252" t="s">
        <v>133</v>
      </c>
      <c r="B102" s="253" t="s">
        <v>134</v>
      </c>
      <c r="C102" s="253" t="s">
        <v>14</v>
      </c>
      <c r="D102" s="254"/>
      <c r="E102" s="255">
        <f>E103</f>
        <v>110</v>
      </c>
      <c r="F102" s="240"/>
      <c r="G102" s="241"/>
      <c r="H102" s="240"/>
      <c r="I102" s="241"/>
      <c r="J102" s="241"/>
      <c r="K102" s="255">
        <f>K103</f>
        <v>0</v>
      </c>
      <c r="L102" s="398">
        <f t="shared" si="19"/>
        <v>0</v>
      </c>
    </row>
    <row r="103" spans="1:12" ht="38.25">
      <c r="A103" s="11" t="s">
        <v>135</v>
      </c>
      <c r="B103" s="12" t="s">
        <v>134</v>
      </c>
      <c r="C103" s="12" t="s">
        <v>113</v>
      </c>
      <c r="D103" s="13" t="s">
        <v>136</v>
      </c>
      <c r="E103" s="14">
        <v>110</v>
      </c>
      <c r="F103" s="38"/>
      <c r="G103" s="10"/>
      <c r="H103" s="9"/>
      <c r="I103" s="10"/>
      <c r="J103" s="10"/>
      <c r="K103" s="14">
        <v>0</v>
      </c>
      <c r="L103" s="400">
        <f t="shared" si="19"/>
        <v>0</v>
      </c>
    </row>
    <row r="104" spans="1:12" ht="38.25">
      <c r="A104" s="252" t="s">
        <v>137</v>
      </c>
      <c r="B104" s="253" t="s">
        <v>132</v>
      </c>
      <c r="C104" s="253" t="s">
        <v>19</v>
      </c>
      <c r="D104" s="254"/>
      <c r="E104" s="255">
        <f>E105</f>
        <v>1</v>
      </c>
      <c r="F104" s="240"/>
      <c r="G104" s="241"/>
      <c r="H104" s="240"/>
      <c r="I104" s="241"/>
      <c r="J104" s="241"/>
      <c r="K104" s="255">
        <f>K105</f>
        <v>1</v>
      </c>
      <c r="L104" s="398">
        <f t="shared" si="19"/>
        <v>1</v>
      </c>
    </row>
    <row r="105" spans="1:12" ht="25.5">
      <c r="A105" s="11" t="s">
        <v>18</v>
      </c>
      <c r="B105" s="12" t="s">
        <v>132</v>
      </c>
      <c r="C105" s="12" t="s">
        <v>19</v>
      </c>
      <c r="D105" s="13" t="s">
        <v>138</v>
      </c>
      <c r="E105" s="14">
        <v>1</v>
      </c>
      <c r="F105" s="9"/>
      <c r="G105" s="10"/>
      <c r="H105" s="9"/>
      <c r="I105" s="10"/>
      <c r="J105" s="10"/>
      <c r="K105" s="14">
        <v>1</v>
      </c>
      <c r="L105" s="400">
        <f t="shared" si="19"/>
        <v>1</v>
      </c>
    </row>
    <row r="106" spans="1:12" ht="17.25" customHeight="1">
      <c r="A106" s="268" t="s">
        <v>139</v>
      </c>
      <c r="B106" s="71" t="s">
        <v>140</v>
      </c>
      <c r="C106" s="71" t="s">
        <v>14</v>
      </c>
      <c r="D106" s="72"/>
      <c r="E106" s="73">
        <f>E107</f>
        <v>4378.7128300000004</v>
      </c>
      <c r="F106" s="59"/>
      <c r="G106" s="60"/>
      <c r="H106" s="59"/>
      <c r="I106" s="60"/>
      <c r="J106" s="60"/>
      <c r="K106" s="73">
        <f>K107</f>
        <v>4023.9376299999999</v>
      </c>
      <c r="L106" s="401">
        <f t="shared" si="19"/>
        <v>0.91897728538639967</v>
      </c>
    </row>
    <row r="107" spans="1:12" ht="20.25" customHeight="1">
      <c r="A107" s="63" t="s">
        <v>141</v>
      </c>
      <c r="B107" s="64" t="s">
        <v>142</v>
      </c>
      <c r="C107" s="64"/>
      <c r="D107" s="65"/>
      <c r="E107" s="66">
        <f>E108+E116+E118+E120+E123+E125+E127+E129+E131+E133+E136+E148+E138+E140+E142+E144+E146</f>
        <v>4378.7128300000004</v>
      </c>
      <c r="F107" s="66">
        <f t="shared" ref="F107:J107" si="22">F108+F116+F118+F120+F123+F125+F127+F129+F131+F133+F136+F148+F138+F140+F142+F144+F146</f>
        <v>0</v>
      </c>
      <c r="G107" s="66">
        <f t="shared" si="22"/>
        <v>0</v>
      </c>
      <c r="H107" s="66">
        <f t="shared" si="22"/>
        <v>0</v>
      </c>
      <c r="I107" s="66">
        <f t="shared" si="22"/>
        <v>0</v>
      </c>
      <c r="J107" s="66">
        <f t="shared" si="22"/>
        <v>0</v>
      </c>
      <c r="K107" s="66">
        <f>K108+K116+K118+K120+K123+K125+K127+K129+K131+K133+K136+K148+K138+K140+K142+K144+K146</f>
        <v>4023.9376299999999</v>
      </c>
      <c r="L107" s="397">
        <f>K107/E107</f>
        <v>0.91897728538639967</v>
      </c>
    </row>
    <row r="108" spans="1:12">
      <c r="A108" s="252" t="s">
        <v>143</v>
      </c>
      <c r="B108" s="253" t="s">
        <v>144</v>
      </c>
      <c r="C108" s="253"/>
      <c r="D108" s="254"/>
      <c r="E108" s="255">
        <f>SUM(E109:E115)</f>
        <v>410.51</v>
      </c>
      <c r="F108" s="240"/>
      <c r="G108" s="241"/>
      <c r="H108" s="240"/>
      <c r="I108" s="241"/>
      <c r="J108" s="241"/>
      <c r="K108" s="255">
        <f>SUM(K109:K115)</f>
        <v>410.51</v>
      </c>
      <c r="L108" s="398">
        <f t="shared" si="19"/>
        <v>1</v>
      </c>
    </row>
    <row r="109" spans="1:12" ht="18.75" customHeight="1">
      <c r="A109" s="39" t="s">
        <v>145</v>
      </c>
      <c r="B109" s="12" t="s">
        <v>146</v>
      </c>
      <c r="C109" s="12" t="s">
        <v>147</v>
      </c>
      <c r="D109" s="40" t="s">
        <v>138</v>
      </c>
      <c r="E109" s="14">
        <v>112.7</v>
      </c>
      <c r="F109" s="9"/>
      <c r="G109" s="10"/>
      <c r="H109" s="9"/>
      <c r="I109" s="10"/>
      <c r="J109" s="10"/>
      <c r="K109" s="14">
        <v>112.7</v>
      </c>
      <c r="L109" s="400">
        <f t="shared" si="19"/>
        <v>1</v>
      </c>
    </row>
    <row r="110" spans="1:12" ht="25.5">
      <c r="A110" s="41" t="s">
        <v>148</v>
      </c>
      <c r="B110" s="12" t="s">
        <v>149</v>
      </c>
      <c r="C110" s="12" t="s">
        <v>147</v>
      </c>
      <c r="D110" s="13" t="s">
        <v>138</v>
      </c>
      <c r="E110" s="14">
        <v>47.2</v>
      </c>
      <c r="F110" s="9"/>
      <c r="G110" s="10"/>
      <c r="H110" s="9"/>
      <c r="I110" s="10"/>
      <c r="J110" s="10"/>
      <c r="K110" s="14">
        <v>47.2</v>
      </c>
      <c r="L110" s="400">
        <f t="shared" si="19"/>
        <v>1</v>
      </c>
    </row>
    <row r="111" spans="1:12" ht="24" customHeight="1">
      <c r="A111" s="41" t="s">
        <v>150</v>
      </c>
      <c r="B111" s="12" t="s">
        <v>151</v>
      </c>
      <c r="C111" s="12" t="s">
        <v>147</v>
      </c>
      <c r="D111" s="13" t="s">
        <v>138</v>
      </c>
      <c r="E111" s="14">
        <v>8.6999999999999993</v>
      </c>
      <c r="F111" s="20">
        <v>42.87</v>
      </c>
      <c r="G111" s="10"/>
      <c r="H111" s="9"/>
      <c r="I111" s="10"/>
      <c r="J111" s="10"/>
      <c r="K111" s="14">
        <v>8.6999999999999993</v>
      </c>
      <c r="L111" s="400">
        <f t="shared" ref="L111:L142" si="23">K111/E111</f>
        <v>1</v>
      </c>
    </row>
    <row r="112" spans="1:12" ht="25.5">
      <c r="A112" s="41" t="s">
        <v>152</v>
      </c>
      <c r="B112" s="12" t="s">
        <v>153</v>
      </c>
      <c r="C112" s="12" t="s">
        <v>147</v>
      </c>
      <c r="D112" s="13" t="s">
        <v>138</v>
      </c>
      <c r="E112" s="14">
        <v>33.880000000000003</v>
      </c>
      <c r="F112" s="9"/>
      <c r="G112" s="10"/>
      <c r="H112" s="9"/>
      <c r="I112" s="10"/>
      <c r="J112" s="10"/>
      <c r="K112" s="14">
        <v>33.880000000000003</v>
      </c>
      <c r="L112" s="400">
        <f t="shared" si="23"/>
        <v>1</v>
      </c>
    </row>
    <row r="113" spans="1:12" ht="29.25" customHeight="1">
      <c r="A113" s="41" t="s">
        <v>154</v>
      </c>
      <c r="B113" s="12" t="s">
        <v>155</v>
      </c>
      <c r="C113" s="12" t="s">
        <v>147</v>
      </c>
      <c r="D113" s="13" t="s">
        <v>138</v>
      </c>
      <c r="E113" s="14">
        <v>42.87</v>
      </c>
      <c r="F113" s="9"/>
      <c r="G113" s="10"/>
      <c r="H113" s="9"/>
      <c r="I113" s="10"/>
      <c r="J113" s="10"/>
      <c r="K113" s="14">
        <v>42.87</v>
      </c>
      <c r="L113" s="400">
        <f t="shared" si="23"/>
        <v>1</v>
      </c>
    </row>
    <row r="114" spans="1:12" ht="30" customHeight="1">
      <c r="A114" s="41" t="s">
        <v>156</v>
      </c>
      <c r="B114" s="12" t="s">
        <v>157</v>
      </c>
      <c r="C114" s="12" t="s">
        <v>147</v>
      </c>
      <c r="D114" s="13" t="s">
        <v>138</v>
      </c>
      <c r="E114" s="14">
        <v>63.5</v>
      </c>
      <c r="F114" s="9"/>
      <c r="G114" s="10"/>
      <c r="H114" s="9"/>
      <c r="I114" s="10"/>
      <c r="J114" s="10"/>
      <c r="K114" s="14">
        <v>63.5</v>
      </c>
      <c r="L114" s="400">
        <f t="shared" si="23"/>
        <v>1</v>
      </c>
    </row>
    <row r="115" spans="1:12" ht="25.5">
      <c r="A115" s="41" t="s">
        <v>158</v>
      </c>
      <c r="B115" s="12" t="s">
        <v>159</v>
      </c>
      <c r="C115" s="12" t="s">
        <v>147</v>
      </c>
      <c r="D115" s="13" t="s">
        <v>138</v>
      </c>
      <c r="E115" s="14">
        <v>101.66</v>
      </c>
      <c r="F115" s="9"/>
      <c r="G115" s="10"/>
      <c r="H115" s="9"/>
      <c r="I115" s="10"/>
      <c r="J115" s="10"/>
      <c r="K115" s="14">
        <v>101.66</v>
      </c>
      <c r="L115" s="400">
        <f t="shared" si="23"/>
        <v>1</v>
      </c>
    </row>
    <row r="116" spans="1:12">
      <c r="A116" s="252" t="s">
        <v>160</v>
      </c>
      <c r="B116" s="253" t="s">
        <v>161</v>
      </c>
      <c r="C116" s="253" t="s">
        <v>14</v>
      </c>
      <c r="D116" s="254"/>
      <c r="E116" s="255">
        <f>E117</f>
        <v>100</v>
      </c>
      <c r="F116" s="240"/>
      <c r="G116" s="241"/>
      <c r="H116" s="240"/>
      <c r="I116" s="241"/>
      <c r="J116" s="241"/>
      <c r="K116" s="255">
        <f>K117</f>
        <v>0</v>
      </c>
      <c r="L116" s="398">
        <f t="shared" si="23"/>
        <v>0</v>
      </c>
    </row>
    <row r="117" spans="1:12">
      <c r="A117" s="11" t="s">
        <v>162</v>
      </c>
      <c r="B117" s="12" t="s">
        <v>161</v>
      </c>
      <c r="C117" s="12" t="s">
        <v>163</v>
      </c>
      <c r="D117" s="13" t="s">
        <v>164</v>
      </c>
      <c r="E117" s="14">
        <v>100</v>
      </c>
      <c r="F117" s="9"/>
      <c r="G117" s="10"/>
      <c r="H117" s="20"/>
      <c r="J117" s="31"/>
      <c r="K117" s="14">
        <v>0</v>
      </c>
      <c r="L117" s="400">
        <f t="shared" si="23"/>
        <v>0</v>
      </c>
    </row>
    <row r="118" spans="1:12" ht="38.25">
      <c r="A118" s="252" t="s">
        <v>165</v>
      </c>
      <c r="B118" s="253" t="s">
        <v>166</v>
      </c>
      <c r="C118" s="253" t="s">
        <v>14</v>
      </c>
      <c r="D118" s="254"/>
      <c r="E118" s="255">
        <f>E119</f>
        <v>295</v>
      </c>
      <c r="F118" s="240"/>
      <c r="G118" s="241"/>
      <c r="H118" s="240"/>
      <c r="I118" s="241"/>
      <c r="J118" s="241"/>
      <c r="K118" s="255">
        <f>K119</f>
        <v>141</v>
      </c>
      <c r="L118" s="398">
        <f t="shared" si="23"/>
        <v>0.47796610169491527</v>
      </c>
    </row>
    <row r="119" spans="1:12" ht="25.5">
      <c r="A119" s="11" t="s">
        <v>24</v>
      </c>
      <c r="B119" s="12" t="s">
        <v>166</v>
      </c>
      <c r="C119" s="12" t="s">
        <v>19</v>
      </c>
      <c r="D119" s="13" t="s">
        <v>138</v>
      </c>
      <c r="E119" s="37">
        <f>145+J119</f>
        <v>295</v>
      </c>
      <c r="F119" s="20"/>
      <c r="G119" s="31"/>
      <c r="H119" s="31">
        <v>118.3</v>
      </c>
      <c r="I119" s="10"/>
      <c r="J119" s="10">
        <v>150</v>
      </c>
      <c r="K119" s="37">
        <v>141</v>
      </c>
      <c r="L119" s="399">
        <f t="shared" si="23"/>
        <v>0.47796610169491527</v>
      </c>
    </row>
    <row r="120" spans="1:12" ht="25.5">
      <c r="A120" s="252" t="s">
        <v>167</v>
      </c>
      <c r="B120" s="253" t="s">
        <v>168</v>
      </c>
      <c r="C120" s="253" t="s">
        <v>14</v>
      </c>
      <c r="D120" s="254"/>
      <c r="E120" s="255">
        <f>E121+E122</f>
        <v>532.20000000000005</v>
      </c>
      <c r="F120" s="240"/>
      <c r="G120" s="241"/>
      <c r="H120" s="240"/>
      <c r="I120" s="241"/>
      <c r="J120" s="241"/>
      <c r="K120" s="255">
        <f>K121+K122</f>
        <v>521.68310000000008</v>
      </c>
      <c r="L120" s="398">
        <f t="shared" si="23"/>
        <v>0.98023881999248408</v>
      </c>
    </row>
    <row r="121" spans="1:12" ht="25.5">
      <c r="A121" s="11" t="s">
        <v>24</v>
      </c>
      <c r="B121" s="12" t="s">
        <v>169</v>
      </c>
      <c r="C121" s="12" t="s">
        <v>19</v>
      </c>
      <c r="D121" s="13" t="s">
        <v>138</v>
      </c>
      <c r="E121" s="37">
        <f>22.8+412.31+21.99</f>
        <v>457.1</v>
      </c>
      <c r="F121" s="9"/>
      <c r="G121" s="10"/>
      <c r="H121" s="9"/>
      <c r="I121" s="10"/>
      <c r="J121" s="10">
        <v>70.8</v>
      </c>
      <c r="K121" s="545">
        <f>18.8+410.02422+21.99</f>
        <v>450.81422000000003</v>
      </c>
      <c r="L121" s="399">
        <f t="shared" si="23"/>
        <v>0.98624856705316122</v>
      </c>
    </row>
    <row r="122" spans="1:12">
      <c r="A122" s="11" t="s">
        <v>170</v>
      </c>
      <c r="B122" s="12" t="s">
        <v>169</v>
      </c>
      <c r="C122" s="12" t="s">
        <v>171</v>
      </c>
      <c r="D122" s="13" t="s">
        <v>138</v>
      </c>
      <c r="E122" s="37">
        <f>25.1+50</f>
        <v>75.099999999999994</v>
      </c>
      <c r="F122" s="9"/>
      <c r="G122" s="10"/>
      <c r="H122" s="9"/>
      <c r="I122" s="10" t="s">
        <v>292</v>
      </c>
      <c r="J122" s="131">
        <v>50</v>
      </c>
      <c r="K122" s="37">
        <v>70.868880000000004</v>
      </c>
      <c r="L122" s="399">
        <f t="shared" si="23"/>
        <v>0.94366018641810934</v>
      </c>
    </row>
    <row r="123" spans="1:12" ht="25.5">
      <c r="A123" s="256" t="s">
        <v>172</v>
      </c>
      <c r="B123" s="257" t="s">
        <v>173</v>
      </c>
      <c r="C123" s="257"/>
      <c r="D123" s="258"/>
      <c r="E123" s="259">
        <f>E124</f>
        <v>59.76</v>
      </c>
      <c r="F123" s="240"/>
      <c r="G123" s="241"/>
      <c r="H123" s="240"/>
      <c r="I123" s="241"/>
      <c r="J123" s="241"/>
      <c r="K123" s="259">
        <f>K124</f>
        <v>51.28</v>
      </c>
      <c r="L123" s="402">
        <f t="shared" si="23"/>
        <v>0.85809906291834004</v>
      </c>
    </row>
    <row r="124" spans="1:12" ht="25.5">
      <c r="A124" s="11" t="s">
        <v>18</v>
      </c>
      <c r="B124" s="12" t="s">
        <v>173</v>
      </c>
      <c r="C124" s="12" t="s">
        <v>19</v>
      </c>
      <c r="D124" s="13" t="s">
        <v>138</v>
      </c>
      <c r="E124" s="37">
        <v>59.76</v>
      </c>
      <c r="F124" s="9"/>
      <c r="G124" s="10"/>
      <c r="I124" s="10"/>
      <c r="J124" s="10"/>
      <c r="K124" s="37">
        <v>51.28</v>
      </c>
      <c r="L124" s="399">
        <f t="shared" si="23"/>
        <v>0.85809906291834004</v>
      </c>
    </row>
    <row r="125" spans="1:12" ht="25.5">
      <c r="A125" s="252" t="s">
        <v>174</v>
      </c>
      <c r="B125" s="253" t="s">
        <v>175</v>
      </c>
      <c r="C125" s="253" t="s">
        <v>14</v>
      </c>
      <c r="D125" s="254"/>
      <c r="E125" s="255">
        <f>E126</f>
        <v>1023.52</v>
      </c>
      <c r="F125" s="240"/>
      <c r="G125" s="241"/>
      <c r="H125" s="240"/>
      <c r="I125" s="241"/>
      <c r="J125" s="241"/>
      <c r="K125" s="255">
        <f>K126</f>
        <v>1021.92</v>
      </c>
      <c r="L125" s="398">
        <f t="shared" si="23"/>
        <v>0.99843676723464125</v>
      </c>
    </row>
    <row r="126" spans="1:12">
      <c r="A126" s="11" t="s">
        <v>176</v>
      </c>
      <c r="B126" s="12" t="s">
        <v>175</v>
      </c>
      <c r="C126" s="12" t="s">
        <v>177</v>
      </c>
      <c r="D126" s="13" t="s">
        <v>178</v>
      </c>
      <c r="E126" s="37">
        <v>1023.52</v>
      </c>
      <c r="F126" s="9"/>
      <c r="G126" s="10"/>
      <c r="H126" s="23">
        <v>-90</v>
      </c>
      <c r="I126" s="10"/>
      <c r="J126" s="10"/>
      <c r="K126" s="37">
        <v>1021.92</v>
      </c>
      <c r="L126" s="399">
        <f t="shared" si="23"/>
        <v>0.99843676723464125</v>
      </c>
    </row>
    <row r="127" spans="1:12" ht="25.5" hidden="1">
      <c r="A127" s="252" t="s">
        <v>179</v>
      </c>
      <c r="B127" s="253" t="s">
        <v>180</v>
      </c>
      <c r="C127" s="253" t="s">
        <v>14</v>
      </c>
      <c r="D127" s="254"/>
      <c r="E127" s="255">
        <f>E128</f>
        <v>0</v>
      </c>
      <c r="F127" s="240"/>
      <c r="G127" s="241"/>
      <c r="H127" s="240"/>
      <c r="I127" s="241"/>
      <c r="J127" s="241"/>
      <c r="K127" s="255">
        <f>K128</f>
        <v>0</v>
      </c>
      <c r="L127" s="398" t="e">
        <f t="shared" si="23"/>
        <v>#DIV/0!</v>
      </c>
    </row>
    <row r="128" spans="1:12" ht="25.5" hidden="1">
      <c r="A128" s="11" t="s">
        <v>24</v>
      </c>
      <c r="B128" s="12" t="s">
        <v>180</v>
      </c>
      <c r="C128" s="12" t="s">
        <v>19</v>
      </c>
      <c r="D128" s="13" t="s">
        <v>181</v>
      </c>
      <c r="E128" s="37">
        <v>0</v>
      </c>
      <c r="F128" s="20">
        <v>112</v>
      </c>
      <c r="G128" s="10"/>
      <c r="H128" s="9"/>
      <c r="I128" s="10"/>
      <c r="J128" s="10"/>
      <c r="K128" s="37">
        <v>0</v>
      </c>
      <c r="L128" s="399" t="e">
        <f t="shared" si="23"/>
        <v>#DIV/0!</v>
      </c>
    </row>
    <row r="129" spans="1:12" ht="38.25">
      <c r="A129" s="256" t="s">
        <v>182</v>
      </c>
      <c r="B129" s="257" t="s">
        <v>183</v>
      </c>
      <c r="C129" s="257"/>
      <c r="D129" s="258"/>
      <c r="E129" s="259">
        <f>E130</f>
        <v>112</v>
      </c>
      <c r="F129" s="240"/>
      <c r="G129" s="260"/>
      <c r="H129" s="240"/>
      <c r="I129" s="241"/>
      <c r="J129" s="241"/>
      <c r="K129" s="259">
        <f>K130</f>
        <v>112</v>
      </c>
      <c r="L129" s="402">
        <f t="shared" si="23"/>
        <v>1</v>
      </c>
    </row>
    <row r="130" spans="1:12" ht="25.5">
      <c r="A130" s="11" t="s">
        <v>18</v>
      </c>
      <c r="B130" s="12" t="s">
        <v>183</v>
      </c>
      <c r="C130" s="12" t="s">
        <v>19</v>
      </c>
      <c r="D130" s="13" t="s">
        <v>138</v>
      </c>
      <c r="E130" s="37">
        <v>112</v>
      </c>
      <c r="F130" s="9"/>
      <c r="G130" s="10">
        <v>50</v>
      </c>
      <c r="H130" s="9"/>
      <c r="I130" s="10"/>
      <c r="J130" s="10"/>
      <c r="K130" s="37">
        <v>112</v>
      </c>
      <c r="L130" s="399">
        <f t="shared" si="23"/>
        <v>1</v>
      </c>
    </row>
    <row r="131" spans="1:12" ht="38.25">
      <c r="A131" s="256" t="s">
        <v>184</v>
      </c>
      <c r="B131" s="257" t="s">
        <v>185</v>
      </c>
      <c r="C131" s="257"/>
      <c r="D131" s="258"/>
      <c r="E131" s="259">
        <f>E132</f>
        <v>61.73</v>
      </c>
      <c r="F131" s="240"/>
      <c r="G131" s="241"/>
      <c r="H131" s="240"/>
      <c r="I131" s="241"/>
      <c r="J131" s="241"/>
      <c r="K131" s="259">
        <f>K132</f>
        <v>61.71848</v>
      </c>
      <c r="L131" s="402">
        <f t="shared" si="23"/>
        <v>0.99981338085209792</v>
      </c>
    </row>
    <row r="132" spans="1:12" ht="25.5">
      <c r="A132" s="11" t="s">
        <v>18</v>
      </c>
      <c r="B132" s="12" t="s">
        <v>185</v>
      </c>
      <c r="C132" s="12" t="s">
        <v>19</v>
      </c>
      <c r="D132" s="13" t="s">
        <v>138</v>
      </c>
      <c r="E132" s="37">
        <v>61.73</v>
      </c>
      <c r="F132" s="36"/>
      <c r="G132" s="10"/>
      <c r="H132" s="36"/>
      <c r="I132" s="10"/>
      <c r="J132" s="10"/>
      <c r="K132" s="37">
        <v>61.71848</v>
      </c>
      <c r="L132" s="399">
        <f t="shared" si="23"/>
        <v>0.99981338085209792</v>
      </c>
    </row>
    <row r="133" spans="1:12" ht="25.5">
      <c r="A133" s="252" t="s">
        <v>186</v>
      </c>
      <c r="B133" s="253" t="s">
        <v>187</v>
      </c>
      <c r="C133" s="253"/>
      <c r="D133" s="254"/>
      <c r="E133" s="255">
        <f>E134+E135</f>
        <v>297.53000000000003</v>
      </c>
      <c r="F133" s="261"/>
      <c r="G133" s="241"/>
      <c r="H133" s="240"/>
      <c r="I133" s="241"/>
      <c r="J133" s="241"/>
      <c r="K133" s="255">
        <f>K134+K135</f>
        <v>297.53000000000003</v>
      </c>
      <c r="L133" s="398">
        <f t="shared" si="23"/>
        <v>1</v>
      </c>
    </row>
    <row r="134" spans="1:12" ht="25.5">
      <c r="A134" s="11" t="s">
        <v>123</v>
      </c>
      <c r="B134" s="12" t="s">
        <v>188</v>
      </c>
      <c r="C134" s="12" t="s">
        <v>124</v>
      </c>
      <c r="D134" s="13" t="s">
        <v>189</v>
      </c>
      <c r="E134" s="546">
        <f>214.86284+65.76877</f>
        <v>280.63161000000002</v>
      </c>
      <c r="F134" s="36">
        <v>-48.819000000000003</v>
      </c>
      <c r="G134" s="10"/>
      <c r="H134" s="36">
        <v>-94.382000000000005</v>
      </c>
      <c r="I134" s="10"/>
      <c r="J134" s="10">
        <v>-30.669</v>
      </c>
      <c r="K134" s="545">
        <f>214.86284+65.76877</f>
        <v>280.63161000000002</v>
      </c>
      <c r="L134" s="399">
        <f t="shared" si="23"/>
        <v>1</v>
      </c>
    </row>
    <row r="135" spans="1:12" ht="25.5">
      <c r="A135" s="11" t="s">
        <v>24</v>
      </c>
      <c r="B135" s="12" t="s">
        <v>188</v>
      </c>
      <c r="C135" s="12" t="s">
        <v>19</v>
      </c>
      <c r="D135" s="13" t="s">
        <v>189</v>
      </c>
      <c r="E135" s="545">
        <f>2.35+3.6+0.10575+10.84264</f>
        <v>16.898389999999999</v>
      </c>
      <c r="F135" s="36">
        <v>-5.12</v>
      </c>
      <c r="G135" s="10"/>
      <c r="H135" s="26"/>
      <c r="I135" s="10"/>
      <c r="J135" s="10"/>
      <c r="K135" s="545">
        <f>2.35+3.6+0.10575+10.84264</f>
        <v>16.898389999999999</v>
      </c>
      <c r="L135" s="399">
        <f t="shared" si="23"/>
        <v>1</v>
      </c>
    </row>
    <row r="136" spans="1:12" ht="63.75">
      <c r="A136" s="252" t="s">
        <v>190</v>
      </c>
      <c r="B136" s="253" t="s">
        <v>191</v>
      </c>
      <c r="C136" s="253" t="s">
        <v>14</v>
      </c>
      <c r="D136" s="254"/>
      <c r="E136" s="255">
        <f>E137</f>
        <v>482.34</v>
      </c>
      <c r="F136" s="240"/>
      <c r="G136" s="241"/>
      <c r="H136" s="240"/>
      <c r="I136" s="241"/>
      <c r="J136" s="241"/>
      <c r="K136" s="255">
        <f>K137</f>
        <v>482.34</v>
      </c>
      <c r="L136" s="398">
        <f t="shared" si="23"/>
        <v>1</v>
      </c>
    </row>
    <row r="137" spans="1:12" ht="25.5">
      <c r="A137" s="11" t="s">
        <v>24</v>
      </c>
      <c r="B137" s="12" t="s">
        <v>191</v>
      </c>
      <c r="C137" s="12" t="s">
        <v>19</v>
      </c>
      <c r="D137" s="13" t="s">
        <v>80</v>
      </c>
      <c r="E137" s="37">
        <v>482.34</v>
      </c>
      <c r="F137" s="9"/>
      <c r="G137" s="10"/>
      <c r="H137" s="2">
        <v>482.34</v>
      </c>
      <c r="J137" s="10"/>
      <c r="K137" s="37">
        <v>482.34</v>
      </c>
      <c r="L137" s="399">
        <f t="shared" si="23"/>
        <v>1</v>
      </c>
    </row>
    <row r="138" spans="1:12" ht="28.5" customHeight="1">
      <c r="A138" s="262" t="s">
        <v>192</v>
      </c>
      <c r="B138" s="253" t="s">
        <v>193</v>
      </c>
      <c r="C138" s="253" t="s">
        <v>14</v>
      </c>
      <c r="D138" s="254"/>
      <c r="E138" s="255">
        <f>E139</f>
        <v>250</v>
      </c>
      <c r="F138" s="263"/>
      <c r="G138" s="241"/>
      <c r="H138" s="240"/>
      <c r="I138" s="241"/>
      <c r="J138" s="241"/>
      <c r="K138" s="255">
        <f>K139</f>
        <v>250</v>
      </c>
      <c r="L138" s="398">
        <f t="shared" si="23"/>
        <v>1</v>
      </c>
    </row>
    <row r="139" spans="1:12" ht="25.5">
      <c r="A139" s="11" t="s">
        <v>24</v>
      </c>
      <c r="B139" s="12" t="s">
        <v>193</v>
      </c>
      <c r="C139" s="12" t="s">
        <v>19</v>
      </c>
      <c r="D139" s="13" t="s">
        <v>68</v>
      </c>
      <c r="E139" s="37">
        <v>250</v>
      </c>
      <c r="F139" s="36"/>
      <c r="G139" s="10">
        <v>10</v>
      </c>
      <c r="H139" s="26">
        <v>150</v>
      </c>
      <c r="I139" s="10">
        <v>100</v>
      </c>
      <c r="J139" s="10"/>
      <c r="K139" s="37">
        <v>250</v>
      </c>
      <c r="L139" s="399">
        <f t="shared" si="23"/>
        <v>1</v>
      </c>
    </row>
    <row r="140" spans="1:12">
      <c r="A140" s="252" t="s">
        <v>194</v>
      </c>
      <c r="B140" s="253" t="s">
        <v>195</v>
      </c>
      <c r="C140" s="253" t="s">
        <v>14</v>
      </c>
      <c r="D140" s="254"/>
      <c r="E140" s="255">
        <f>E141</f>
        <v>10</v>
      </c>
      <c r="F140" s="240"/>
      <c r="G140" s="241"/>
      <c r="H140" s="240"/>
      <c r="I140" s="241"/>
      <c r="J140" s="241"/>
      <c r="K140" s="255">
        <f>K141</f>
        <v>9.4499999999999993</v>
      </c>
      <c r="L140" s="398">
        <f t="shared" si="23"/>
        <v>0.94499999999999995</v>
      </c>
    </row>
    <row r="141" spans="1:12" ht="25.5">
      <c r="A141" s="11" t="s">
        <v>24</v>
      </c>
      <c r="B141" s="12" t="s">
        <v>195</v>
      </c>
      <c r="C141" s="12" t="s">
        <v>19</v>
      </c>
      <c r="D141" s="13" t="s">
        <v>28</v>
      </c>
      <c r="E141" s="37">
        <v>10</v>
      </c>
      <c r="F141" s="9"/>
      <c r="G141" s="10"/>
      <c r="H141" s="9"/>
      <c r="I141" s="10"/>
      <c r="J141" s="10"/>
      <c r="K141" s="37">
        <v>9.4499999999999993</v>
      </c>
      <c r="L141" s="399">
        <f>K141/E141</f>
        <v>0.94499999999999995</v>
      </c>
    </row>
    <row r="142" spans="1:12" ht="32.25" customHeight="1">
      <c r="A142" s="252" t="s">
        <v>196</v>
      </c>
      <c r="B142" s="253" t="s">
        <v>197</v>
      </c>
      <c r="C142" s="253" t="s">
        <v>14</v>
      </c>
      <c r="D142" s="254"/>
      <c r="E142" s="255">
        <f>E143</f>
        <v>576.1</v>
      </c>
      <c r="F142" s="240"/>
      <c r="G142" s="241"/>
      <c r="H142" s="240"/>
      <c r="I142" s="241"/>
      <c r="J142" s="241"/>
      <c r="K142" s="255">
        <f>K143</f>
        <v>496.58322000000004</v>
      </c>
      <c r="L142" s="398">
        <f t="shared" si="23"/>
        <v>0.86197399756986637</v>
      </c>
    </row>
    <row r="143" spans="1:12" ht="25.5">
      <c r="A143" s="11" t="s">
        <v>24</v>
      </c>
      <c r="B143" s="12" t="s">
        <v>197</v>
      </c>
      <c r="C143" s="12" t="s">
        <v>19</v>
      </c>
      <c r="D143" s="13" t="s">
        <v>138</v>
      </c>
      <c r="E143" s="37">
        <f>41.1+535</f>
        <v>576.1</v>
      </c>
      <c r="F143" s="9"/>
      <c r="H143" s="9"/>
      <c r="I143" s="10"/>
      <c r="J143" s="10"/>
      <c r="K143" s="545">
        <f>38.35+458.23322</f>
        <v>496.58322000000004</v>
      </c>
      <c r="L143" s="399">
        <f t="shared" ref="L143:L152" si="24">K143/E143</f>
        <v>0.86197399756986637</v>
      </c>
    </row>
    <row r="144" spans="1:12" ht="28.5" customHeight="1">
      <c r="A144" s="252" t="s">
        <v>198</v>
      </c>
      <c r="B144" s="253" t="s">
        <v>199</v>
      </c>
      <c r="C144" s="253" t="s">
        <v>14</v>
      </c>
      <c r="D144" s="254"/>
      <c r="E144" s="255">
        <f>E145</f>
        <v>10</v>
      </c>
      <c r="F144" s="240"/>
      <c r="G144" s="241"/>
      <c r="H144" s="240"/>
      <c r="I144" s="241"/>
      <c r="J144" s="241"/>
      <c r="K144" s="255">
        <f>K145</f>
        <v>10</v>
      </c>
      <c r="L144" s="398">
        <f t="shared" si="24"/>
        <v>1</v>
      </c>
    </row>
    <row r="145" spans="1:12" ht="25.5">
      <c r="A145" s="11" t="s">
        <v>24</v>
      </c>
      <c r="B145" s="12" t="s">
        <v>199</v>
      </c>
      <c r="C145" s="12" t="s">
        <v>19</v>
      </c>
      <c r="D145" s="13" t="s">
        <v>32</v>
      </c>
      <c r="E145" s="37">
        <v>10</v>
      </c>
      <c r="F145" s="9"/>
      <c r="G145" s="10">
        <v>10</v>
      </c>
      <c r="H145" s="9"/>
      <c r="I145" s="10"/>
      <c r="J145" s="10"/>
      <c r="K145" s="37">
        <v>10</v>
      </c>
      <c r="L145" s="399">
        <f t="shared" si="24"/>
        <v>1</v>
      </c>
    </row>
    <row r="146" spans="1:12" ht="19.5" customHeight="1">
      <c r="A146" s="252" t="s">
        <v>200</v>
      </c>
      <c r="B146" s="253" t="s">
        <v>201</v>
      </c>
      <c r="C146" s="253" t="s">
        <v>14</v>
      </c>
      <c r="D146" s="254"/>
      <c r="E146" s="255">
        <f>E147</f>
        <v>53.6</v>
      </c>
      <c r="F146" s="240"/>
      <c r="G146" s="241"/>
      <c r="H146" s="240"/>
      <c r="I146" s="241"/>
      <c r="J146" s="241"/>
      <c r="K146" s="255">
        <f>K147</f>
        <v>53.5</v>
      </c>
      <c r="L146" s="398">
        <f t="shared" si="24"/>
        <v>0.99813432835820892</v>
      </c>
    </row>
    <row r="147" spans="1:12" ht="25.5">
      <c r="A147" s="16" t="s">
        <v>24</v>
      </c>
      <c r="B147" s="17" t="s">
        <v>201</v>
      </c>
      <c r="C147" s="17" t="s">
        <v>19</v>
      </c>
      <c r="D147" s="18" t="s">
        <v>138</v>
      </c>
      <c r="E147" s="42">
        <v>53.6</v>
      </c>
      <c r="F147" s="9"/>
      <c r="G147" s="10"/>
      <c r="I147" s="10"/>
      <c r="J147" s="10"/>
      <c r="K147" s="42">
        <v>53.5</v>
      </c>
      <c r="L147" s="403">
        <f t="shared" si="24"/>
        <v>0.99813432835820892</v>
      </c>
    </row>
    <row r="148" spans="1:12" ht="36" customHeight="1">
      <c r="A148" s="252" t="s">
        <v>202</v>
      </c>
      <c r="B148" s="253" t="s">
        <v>203</v>
      </c>
      <c r="C148" s="253" t="s">
        <v>14</v>
      </c>
      <c r="D148" s="254"/>
      <c r="E148" s="255">
        <f>E149</f>
        <v>104.42283</v>
      </c>
      <c r="F148" s="240"/>
      <c r="G148" s="241"/>
      <c r="H148" s="240"/>
      <c r="I148" s="241"/>
      <c r="J148" s="261"/>
      <c r="K148" s="255">
        <f>K149</f>
        <v>104.42283</v>
      </c>
      <c r="L148" s="398">
        <f t="shared" si="24"/>
        <v>1</v>
      </c>
    </row>
    <row r="149" spans="1:12" ht="31.5" customHeight="1" thickBot="1">
      <c r="A149" s="11" t="s">
        <v>24</v>
      </c>
      <c r="B149" s="12" t="s">
        <v>203</v>
      </c>
      <c r="C149" s="12" t="s">
        <v>19</v>
      </c>
      <c r="D149" s="13" t="s">
        <v>80</v>
      </c>
      <c r="E149" s="30">
        <f>104.42283</f>
        <v>104.42283</v>
      </c>
      <c r="F149" s="9"/>
      <c r="G149" s="10"/>
      <c r="H149" s="26">
        <v>217.66</v>
      </c>
      <c r="I149" s="10"/>
      <c r="J149" s="43">
        <v>-113.23717000000001</v>
      </c>
      <c r="K149" s="30">
        <f>104.42283</f>
        <v>104.42283</v>
      </c>
      <c r="L149" s="392">
        <f t="shared" si="24"/>
        <v>1</v>
      </c>
    </row>
    <row r="150" spans="1:12" ht="18.75" customHeight="1" thickBot="1">
      <c r="A150" s="657" t="s">
        <v>204</v>
      </c>
      <c r="B150" s="658"/>
      <c r="C150" s="658"/>
      <c r="D150" s="658"/>
      <c r="E150" s="496">
        <f>E152+E167</f>
        <v>15537.977699999999</v>
      </c>
      <c r="F150" s="234"/>
      <c r="G150" s="235"/>
      <c r="H150" s="234"/>
      <c r="I150" s="235"/>
      <c r="J150" s="236"/>
      <c r="K150" s="594">
        <f>K152+K167</f>
        <v>15537.977699999999</v>
      </c>
      <c r="L150" s="404">
        <f t="shared" si="24"/>
        <v>1</v>
      </c>
    </row>
    <row r="151" spans="1:12" ht="27" customHeight="1" thickBot="1">
      <c r="A151" s="218" t="s">
        <v>8</v>
      </c>
      <c r="B151" s="219">
        <v>70</v>
      </c>
      <c r="C151" s="220"/>
      <c r="D151" s="221"/>
      <c r="E151" s="465">
        <f>E152+E167</f>
        <v>15537.977699999999</v>
      </c>
      <c r="F151" s="91"/>
      <c r="G151" s="92"/>
      <c r="H151" s="91"/>
      <c r="I151" s="92"/>
      <c r="J151" s="92"/>
      <c r="K151" s="98">
        <f>K152+K167</f>
        <v>15537.977699999999</v>
      </c>
      <c r="L151" s="405">
        <f t="shared" si="24"/>
        <v>1</v>
      </c>
    </row>
    <row r="152" spans="1:12" ht="14.25">
      <c r="A152" s="230" t="s">
        <v>88</v>
      </c>
      <c r="B152" s="649" t="s">
        <v>89</v>
      </c>
      <c r="C152" s="641"/>
      <c r="D152" s="643"/>
      <c r="E152" s="628">
        <f>E154</f>
        <v>14253.977699999999</v>
      </c>
      <c r="F152" s="231"/>
      <c r="G152" s="131"/>
      <c r="H152" s="231"/>
      <c r="I152" s="131"/>
      <c r="J152" s="131"/>
      <c r="K152" s="628">
        <f>K154</f>
        <v>14253.977699999999</v>
      </c>
      <c r="L152" s="622">
        <f t="shared" si="24"/>
        <v>1</v>
      </c>
    </row>
    <row r="153" spans="1:12" ht="39" thickBot="1">
      <c r="A153" s="232" t="s">
        <v>90</v>
      </c>
      <c r="B153" s="650"/>
      <c r="C153" s="642"/>
      <c r="D153" s="644"/>
      <c r="E153" s="629"/>
      <c r="F153" s="231"/>
      <c r="G153" s="131"/>
      <c r="H153" s="231"/>
      <c r="I153" s="131"/>
      <c r="J153" s="131"/>
      <c r="K153" s="629"/>
      <c r="L153" s="623"/>
    </row>
    <row r="154" spans="1:12">
      <c r="A154" s="247" t="s">
        <v>91</v>
      </c>
      <c r="B154" s="248"/>
      <c r="C154" s="243" t="s">
        <v>14</v>
      </c>
      <c r="D154" s="244" t="s">
        <v>94</v>
      </c>
      <c r="E154" s="250">
        <f>E155+E158+E161+E164</f>
        <v>14253.977699999999</v>
      </c>
      <c r="F154" s="96"/>
      <c r="G154" s="97"/>
      <c r="H154" s="96"/>
      <c r="I154" s="97"/>
      <c r="J154" s="97"/>
      <c r="K154" s="265">
        <f>K155+K158+K161+K164</f>
        <v>14253.977699999999</v>
      </c>
      <c r="L154" s="406">
        <f t="shared" ref="L154:L167" si="25">K154/E154</f>
        <v>1</v>
      </c>
    </row>
    <row r="155" spans="1:12" ht="25.5">
      <c r="A155" s="75" t="s">
        <v>205</v>
      </c>
      <c r="B155" s="76" t="s">
        <v>206</v>
      </c>
      <c r="C155" s="76"/>
      <c r="D155" s="77"/>
      <c r="E155" s="90">
        <f>E156+E157</f>
        <v>8872.8499999999985</v>
      </c>
      <c r="F155" s="80"/>
      <c r="G155" s="81"/>
      <c r="H155" s="80"/>
      <c r="I155" s="81"/>
      <c r="J155" s="81"/>
      <c r="K155" s="90">
        <f>K156+K157</f>
        <v>8872.8499999999985</v>
      </c>
      <c r="L155" s="394">
        <f t="shared" si="25"/>
        <v>1</v>
      </c>
    </row>
    <row r="156" spans="1:12" ht="51">
      <c r="A156" s="11" t="s">
        <v>207</v>
      </c>
      <c r="B156" s="12" t="s">
        <v>206</v>
      </c>
      <c r="C156" s="12" t="s">
        <v>208</v>
      </c>
      <c r="D156" s="13" t="s">
        <v>94</v>
      </c>
      <c r="E156" s="15">
        <v>8852.9599999999991</v>
      </c>
      <c r="F156" s="9"/>
      <c r="G156" s="10"/>
      <c r="H156" s="9"/>
      <c r="I156" s="10"/>
      <c r="J156" s="10"/>
      <c r="K156" s="15">
        <v>8852.9599999999991</v>
      </c>
      <c r="L156" s="386">
        <f t="shared" si="25"/>
        <v>1</v>
      </c>
    </row>
    <row r="157" spans="1:12">
      <c r="A157" s="16" t="s">
        <v>209</v>
      </c>
      <c r="B157" s="12" t="s">
        <v>206</v>
      </c>
      <c r="C157" s="12" t="s">
        <v>210</v>
      </c>
      <c r="D157" s="13" t="s">
        <v>94</v>
      </c>
      <c r="E157" s="15">
        <v>19.89</v>
      </c>
      <c r="F157" s="9"/>
      <c r="G157" s="10"/>
      <c r="H157" s="9"/>
      <c r="I157" s="10"/>
      <c r="J157" s="10"/>
      <c r="K157" s="15">
        <v>19.89</v>
      </c>
      <c r="L157" s="386">
        <f t="shared" si="25"/>
        <v>1</v>
      </c>
    </row>
    <row r="158" spans="1:12" ht="25.5">
      <c r="A158" s="75" t="s">
        <v>211</v>
      </c>
      <c r="B158" s="76" t="s">
        <v>212</v>
      </c>
      <c r="C158" s="76"/>
      <c r="D158" s="77"/>
      <c r="E158" s="79">
        <f>E159+E160</f>
        <v>723.54</v>
      </c>
      <c r="F158" s="80"/>
      <c r="G158" s="81"/>
      <c r="H158" s="80"/>
      <c r="I158" s="81"/>
      <c r="J158" s="81"/>
      <c r="K158" s="79">
        <f>K159+K160</f>
        <v>723.54</v>
      </c>
      <c r="L158" s="385">
        <f t="shared" si="25"/>
        <v>1</v>
      </c>
    </row>
    <row r="159" spans="1:12" ht="39.75" customHeight="1">
      <c r="A159" s="11" t="s">
        <v>207</v>
      </c>
      <c r="B159" s="12" t="s">
        <v>212</v>
      </c>
      <c r="C159" s="12" t="s">
        <v>208</v>
      </c>
      <c r="D159" s="13" t="s">
        <v>94</v>
      </c>
      <c r="E159" s="15">
        <v>647.65</v>
      </c>
      <c r="F159" s="9"/>
      <c r="G159" s="10"/>
      <c r="H159" s="9"/>
      <c r="I159" s="10"/>
      <c r="J159" s="10"/>
      <c r="K159" s="15">
        <v>647.65</v>
      </c>
      <c r="L159" s="386">
        <f t="shared" si="25"/>
        <v>1</v>
      </c>
    </row>
    <row r="160" spans="1:12" ht="19.5" customHeight="1">
      <c r="A160" s="16" t="s">
        <v>209</v>
      </c>
      <c r="B160" s="12" t="s">
        <v>212</v>
      </c>
      <c r="C160" s="12" t="s">
        <v>210</v>
      </c>
      <c r="D160" s="13" t="s">
        <v>94</v>
      </c>
      <c r="E160" s="15">
        <v>75.89</v>
      </c>
      <c r="F160" s="9"/>
      <c r="H160" s="9"/>
      <c r="I160" s="10"/>
      <c r="J160" s="10"/>
      <c r="K160" s="15">
        <v>75.89</v>
      </c>
      <c r="L160" s="386">
        <f t="shared" si="25"/>
        <v>1</v>
      </c>
    </row>
    <row r="161" spans="1:13">
      <c r="A161" s="75" t="s">
        <v>213</v>
      </c>
      <c r="B161" s="76"/>
      <c r="C161" s="76"/>
      <c r="D161" s="77"/>
      <c r="E161" s="79">
        <f>E163+E162</f>
        <v>3671.9876999999997</v>
      </c>
      <c r="F161" s="86"/>
      <c r="G161" s="86"/>
      <c r="H161" s="86"/>
      <c r="I161" s="81"/>
      <c r="J161" s="81"/>
      <c r="K161" s="443">
        <f>K163+K162</f>
        <v>3671.9876999999997</v>
      </c>
      <c r="L161" s="385">
        <f t="shared" si="25"/>
        <v>1</v>
      </c>
    </row>
    <row r="162" spans="1:13">
      <c r="A162" s="11" t="s">
        <v>209</v>
      </c>
      <c r="B162" s="12" t="s">
        <v>214</v>
      </c>
      <c r="C162" s="12" t="s">
        <v>210</v>
      </c>
      <c r="D162" s="13" t="s">
        <v>94</v>
      </c>
      <c r="E162" s="15">
        <f>184.2877</f>
        <v>184.2877</v>
      </c>
      <c r="F162" s="9"/>
      <c r="G162" s="44">
        <v>40</v>
      </c>
      <c r="H162" s="9"/>
      <c r="I162" s="10"/>
      <c r="J162" s="10">
        <v>34.287700000000001</v>
      </c>
      <c r="K162" s="440">
        <v>184.2877</v>
      </c>
      <c r="L162" s="386">
        <f t="shared" si="25"/>
        <v>1</v>
      </c>
    </row>
    <row r="163" spans="1:13">
      <c r="A163" s="45" t="s">
        <v>209</v>
      </c>
      <c r="B163" s="46" t="s">
        <v>215</v>
      </c>
      <c r="C163" s="46" t="s">
        <v>210</v>
      </c>
      <c r="D163" s="47" t="s">
        <v>94</v>
      </c>
      <c r="E163" s="48">
        <f>2712.7+775</f>
        <v>3487.7</v>
      </c>
      <c r="F163" s="23">
        <v>-2090</v>
      </c>
      <c r="G163" s="44">
        <v>775</v>
      </c>
      <c r="H163" s="9">
        <v>2090</v>
      </c>
      <c r="I163" s="10"/>
      <c r="J163" s="10"/>
      <c r="K163" s="48">
        <f>2712.7+775</f>
        <v>3487.7</v>
      </c>
      <c r="L163" s="407">
        <f t="shared" si="25"/>
        <v>1</v>
      </c>
      <c r="M163" s="562">
        <f>2090-2712.7</f>
        <v>-622.69999999999982</v>
      </c>
    </row>
    <row r="164" spans="1:13" ht="25.5">
      <c r="A164" s="87" t="s">
        <v>216</v>
      </c>
      <c r="B164" s="76" t="s">
        <v>217</v>
      </c>
      <c r="C164" s="76"/>
      <c r="D164" s="77"/>
      <c r="E164" s="549">
        <f>E165+E166</f>
        <v>985.6</v>
      </c>
      <c r="F164" s="80"/>
      <c r="G164" s="81"/>
      <c r="H164" s="80"/>
      <c r="I164" s="81"/>
      <c r="J164" s="81"/>
      <c r="K164" s="550">
        <f>K165+K166</f>
        <v>985.6</v>
      </c>
      <c r="L164" s="391">
        <f t="shared" si="25"/>
        <v>1</v>
      </c>
    </row>
    <row r="165" spans="1:13" ht="25.5">
      <c r="A165" s="29" t="s">
        <v>218</v>
      </c>
      <c r="B165" s="12" t="s">
        <v>217</v>
      </c>
      <c r="C165" s="12" t="s">
        <v>208</v>
      </c>
      <c r="D165" s="13" t="s">
        <v>94</v>
      </c>
      <c r="E165" s="19">
        <v>76.688000000000002</v>
      </c>
      <c r="F165" s="9"/>
      <c r="G165" s="10"/>
      <c r="H165" s="9"/>
      <c r="I165" s="49"/>
      <c r="J165" s="49">
        <v>76.69</v>
      </c>
      <c r="K165" s="37">
        <v>76.688000000000002</v>
      </c>
      <c r="L165" s="399">
        <f t="shared" si="25"/>
        <v>1</v>
      </c>
    </row>
    <row r="166" spans="1:13" ht="26.25" thickBot="1">
      <c r="A166" s="29" t="s">
        <v>219</v>
      </c>
      <c r="B166" s="12" t="s">
        <v>217</v>
      </c>
      <c r="C166" s="12" t="s">
        <v>208</v>
      </c>
      <c r="D166" s="13" t="s">
        <v>94</v>
      </c>
      <c r="E166" s="367">
        <v>908.91200000000003</v>
      </c>
      <c r="F166" s="9">
        <v>429</v>
      </c>
      <c r="G166" s="10"/>
      <c r="H166" s="9"/>
      <c r="I166" s="49">
        <v>-429</v>
      </c>
      <c r="J166" s="49">
        <v>908.91</v>
      </c>
      <c r="K166" s="42">
        <v>908.91200000000003</v>
      </c>
      <c r="L166" s="403">
        <f t="shared" si="25"/>
        <v>1</v>
      </c>
    </row>
    <row r="167" spans="1:13" ht="14.25">
      <c r="A167" s="230" t="s">
        <v>95</v>
      </c>
      <c r="B167" s="639" t="s">
        <v>96</v>
      </c>
      <c r="C167" s="641"/>
      <c r="D167" s="643"/>
      <c r="E167" s="637">
        <f>E169+E172</f>
        <v>1284</v>
      </c>
      <c r="F167" s="231"/>
      <c r="G167" s="131"/>
      <c r="H167" s="231"/>
      <c r="I167" s="131"/>
      <c r="J167" s="131"/>
      <c r="K167" s="630">
        <f>K169+K172</f>
        <v>1284</v>
      </c>
      <c r="L167" s="624">
        <f t="shared" si="25"/>
        <v>1</v>
      </c>
    </row>
    <row r="168" spans="1:13" ht="39" thickBot="1">
      <c r="A168" s="233" t="s">
        <v>97</v>
      </c>
      <c r="B168" s="640"/>
      <c r="C168" s="642"/>
      <c r="D168" s="644"/>
      <c r="E168" s="638"/>
      <c r="F168" s="231"/>
      <c r="G168" s="131"/>
      <c r="H168" s="231"/>
      <c r="I168" s="131"/>
      <c r="J168" s="131"/>
      <c r="K168" s="631"/>
      <c r="L168" s="625"/>
    </row>
    <row r="169" spans="1:13">
      <c r="A169" s="242" t="s">
        <v>220</v>
      </c>
      <c r="B169" s="243"/>
      <c r="C169" s="243"/>
      <c r="D169" s="244" t="s">
        <v>221</v>
      </c>
      <c r="E169" s="368">
        <f>E170</f>
        <v>429</v>
      </c>
      <c r="F169" s="96"/>
      <c r="G169" s="97"/>
      <c r="H169" s="96"/>
      <c r="I169" s="266"/>
      <c r="J169" s="267"/>
      <c r="K169" s="245">
        <f>K170</f>
        <v>429</v>
      </c>
      <c r="L169" s="384">
        <f t="shared" ref="L169:L175" si="26">K169/E169</f>
        <v>1</v>
      </c>
    </row>
    <row r="170" spans="1:13" ht="38.25" customHeight="1">
      <c r="A170" s="75" t="s">
        <v>222</v>
      </c>
      <c r="B170" s="76" t="s">
        <v>223</v>
      </c>
      <c r="C170" s="76" t="s">
        <v>14</v>
      </c>
      <c r="D170" s="77"/>
      <c r="E170" s="78">
        <f t="shared" ref="E170" si="27">E171</f>
        <v>429</v>
      </c>
      <c r="F170" s="86"/>
      <c r="G170" s="86"/>
      <c r="H170" s="80"/>
      <c r="I170" s="86"/>
      <c r="J170" s="99"/>
      <c r="K170" s="79">
        <f t="shared" ref="K170" si="28">K171</f>
        <v>429</v>
      </c>
      <c r="L170" s="385">
        <f t="shared" si="26"/>
        <v>1</v>
      </c>
    </row>
    <row r="171" spans="1:13" ht="22.5" customHeight="1">
      <c r="A171" s="11" t="s">
        <v>209</v>
      </c>
      <c r="B171" s="12" t="s">
        <v>223</v>
      </c>
      <c r="C171" s="12" t="s">
        <v>210</v>
      </c>
      <c r="D171" s="13" t="s">
        <v>221</v>
      </c>
      <c r="E171" s="37">
        <v>429</v>
      </c>
      <c r="H171" s="9"/>
      <c r="J171" s="50"/>
      <c r="K171" s="19">
        <v>429</v>
      </c>
      <c r="L171" s="388">
        <f t="shared" si="26"/>
        <v>1</v>
      </c>
    </row>
    <row r="172" spans="1:13" ht="13.5" customHeight="1">
      <c r="A172" s="242" t="s">
        <v>98</v>
      </c>
      <c r="B172" s="243"/>
      <c r="C172" s="243"/>
      <c r="D172" s="244" t="s">
        <v>99</v>
      </c>
      <c r="E172" s="368">
        <f t="shared" ref="E172:E173" si="29">E173</f>
        <v>855</v>
      </c>
      <c r="F172" s="264"/>
      <c r="G172" s="264"/>
      <c r="H172" s="96"/>
      <c r="I172" s="264"/>
      <c r="J172" s="267"/>
      <c r="K172" s="245">
        <f t="shared" ref="K172:K173" si="30">K173</f>
        <v>855</v>
      </c>
      <c r="L172" s="384">
        <f t="shared" si="26"/>
        <v>1</v>
      </c>
    </row>
    <row r="173" spans="1:13" ht="34.5" customHeight="1">
      <c r="A173" s="75" t="s">
        <v>222</v>
      </c>
      <c r="B173" s="76" t="s">
        <v>223</v>
      </c>
      <c r="C173" s="76" t="s">
        <v>14</v>
      </c>
      <c r="D173" s="77"/>
      <c r="E173" s="78">
        <f t="shared" si="29"/>
        <v>855</v>
      </c>
      <c r="F173" s="86"/>
      <c r="G173" s="86"/>
      <c r="H173" s="80"/>
      <c r="I173" s="86"/>
      <c r="J173" s="99"/>
      <c r="K173" s="79">
        <f t="shared" si="30"/>
        <v>855</v>
      </c>
      <c r="L173" s="385">
        <f t="shared" si="26"/>
        <v>1</v>
      </c>
    </row>
    <row r="174" spans="1:13" ht="51.75" thickBot="1">
      <c r="A174" s="16" t="s">
        <v>207</v>
      </c>
      <c r="B174" s="17" t="s">
        <v>223</v>
      </c>
      <c r="C174" s="17" t="s">
        <v>208</v>
      </c>
      <c r="D174" s="18" t="s">
        <v>99</v>
      </c>
      <c r="E174" s="42">
        <v>855</v>
      </c>
      <c r="H174" s="51"/>
      <c r="J174" s="52"/>
      <c r="K174" s="21">
        <v>855</v>
      </c>
      <c r="L174" s="389">
        <f t="shared" si="26"/>
        <v>1</v>
      </c>
    </row>
    <row r="175" spans="1:13" ht="22.5" customHeight="1" thickBot="1">
      <c r="A175" s="237" t="s">
        <v>224</v>
      </c>
      <c r="B175" s="238"/>
      <c r="C175" s="238"/>
      <c r="D175" s="239"/>
      <c r="E175" s="466">
        <f>E7+E150</f>
        <v>48947.365269999995</v>
      </c>
      <c r="F175" s="466">
        <f t="shared" ref="F175:K175" si="31">F7+F150</f>
        <v>0</v>
      </c>
      <c r="G175" s="466">
        <f t="shared" si="31"/>
        <v>0</v>
      </c>
      <c r="H175" s="466">
        <f t="shared" si="31"/>
        <v>0</v>
      </c>
      <c r="I175" s="466">
        <f t="shared" si="31"/>
        <v>0</v>
      </c>
      <c r="J175" s="466">
        <f t="shared" si="31"/>
        <v>0</v>
      </c>
      <c r="K175" s="466">
        <f t="shared" si="31"/>
        <v>44595.065220000004</v>
      </c>
      <c r="L175" s="408">
        <f t="shared" si="26"/>
        <v>0.91108203626503403</v>
      </c>
    </row>
    <row r="177" spans="5:12" outlineLevel="1">
      <c r="E177" s="552">
        <f>E175+E176</f>
        <v>48947.365269999995</v>
      </c>
      <c r="K177" s="53">
        <v>44595.065219999997</v>
      </c>
      <c r="L177" s="409">
        <f>L175+L176</f>
        <v>0.91108203626503403</v>
      </c>
    </row>
    <row r="178" spans="5:12">
      <c r="K178" s="499"/>
    </row>
    <row r="179" spans="5:12">
      <c r="E179" s="132">
        <f>48947.36527-E175</f>
        <v>0</v>
      </c>
      <c r="K179" s="551">
        <f>K175-K177</f>
        <v>0</v>
      </c>
    </row>
  </sheetData>
  <autoFilter ref="A1:A178"/>
  <mergeCells count="55">
    <mergeCell ref="D3:E3"/>
    <mergeCell ref="F3:G3"/>
    <mergeCell ref="H3:I3"/>
    <mergeCell ref="J3:K3"/>
    <mergeCell ref="A150:D150"/>
    <mergeCell ref="B71:B72"/>
    <mergeCell ref="C71:C72"/>
    <mergeCell ref="D71:D72"/>
    <mergeCell ref="E71:E72"/>
    <mergeCell ref="E39:E40"/>
    <mergeCell ref="B26:B27"/>
    <mergeCell ref="C26:C27"/>
    <mergeCell ref="D26:D27"/>
    <mergeCell ref="E26:E27"/>
    <mergeCell ref="B39:B40"/>
    <mergeCell ref="C39:C40"/>
    <mergeCell ref="B152:B153"/>
    <mergeCell ref="C152:C153"/>
    <mergeCell ref="D152:D153"/>
    <mergeCell ref="A90:D90"/>
    <mergeCell ref="E76:E77"/>
    <mergeCell ref="B76:B77"/>
    <mergeCell ref="C76:C77"/>
    <mergeCell ref="D76:D77"/>
    <mergeCell ref="D39:D40"/>
    <mergeCell ref="F6:G6"/>
    <mergeCell ref="H6:I6"/>
    <mergeCell ref="A7:D7"/>
    <mergeCell ref="B10:B11"/>
    <mergeCell ref="C10:C11"/>
    <mergeCell ref="D10:D11"/>
    <mergeCell ref="E10:E11"/>
    <mergeCell ref="K152:K153"/>
    <mergeCell ref="K167:K168"/>
    <mergeCell ref="D1:K1"/>
    <mergeCell ref="D2:K2"/>
    <mergeCell ref="D4:K4"/>
    <mergeCell ref="A5:K5"/>
    <mergeCell ref="K10:K11"/>
    <mergeCell ref="K26:K27"/>
    <mergeCell ref="K39:K40"/>
    <mergeCell ref="K71:K72"/>
    <mergeCell ref="K76:K77"/>
    <mergeCell ref="E152:E153"/>
    <mergeCell ref="B167:B168"/>
    <mergeCell ref="C167:C168"/>
    <mergeCell ref="D167:D168"/>
    <mergeCell ref="E167:E168"/>
    <mergeCell ref="L152:L153"/>
    <mergeCell ref="L167:L168"/>
    <mergeCell ref="L10:L11"/>
    <mergeCell ref="L26:L27"/>
    <mergeCell ref="L39:L40"/>
    <mergeCell ref="L71:L72"/>
    <mergeCell ref="L76:L77"/>
  </mergeCells>
  <pageMargins left="0.9055118110236221" right="0.11811023622047245" top="0.35433070866141736" bottom="0.15748031496062992" header="0.31496062992125984" footer="0.31496062992125984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B102"/>
  <sheetViews>
    <sheetView view="pageBreakPreview" topLeftCell="D1" zoomScale="70" zoomScaleNormal="100" zoomScaleSheetLayoutView="70" workbookViewId="0">
      <selection activeCell="J17" sqref="J17"/>
    </sheetView>
  </sheetViews>
  <sheetFormatPr defaultRowHeight="12.75" outlineLevelRow="1"/>
  <cols>
    <col min="1" max="1" width="5.85546875" style="135" customWidth="1"/>
    <col min="2" max="2" width="32.85546875" style="135" customWidth="1"/>
    <col min="3" max="3" width="32" style="135" customWidth="1"/>
    <col min="4" max="4" width="11.28515625" style="135" bestFit="1" customWidth="1"/>
    <col min="5" max="5" width="8.140625" style="135" customWidth="1"/>
    <col min="6" max="6" width="7.85546875" style="135" customWidth="1"/>
    <col min="7" max="7" width="100" style="163" customWidth="1"/>
    <col min="8" max="8" width="9.140625" style="163" customWidth="1"/>
    <col min="9" max="9" width="12.5703125" style="163" customWidth="1"/>
    <col min="10" max="10" width="14.7109375" style="164" customWidth="1"/>
    <col min="11" max="11" width="12.140625" style="445" hidden="1" customWidth="1"/>
    <col min="12" max="12" width="11.28515625" style="445" hidden="1" customWidth="1"/>
    <col min="13" max="13" width="13.28515625" style="445" hidden="1" customWidth="1"/>
    <col min="14" max="14" width="9.140625" style="445" hidden="1" customWidth="1"/>
    <col min="15" max="15" width="9.28515625" style="445" hidden="1" customWidth="1" collapsed="1"/>
    <col min="16" max="16" width="2.28515625" style="445" hidden="1" customWidth="1"/>
    <col min="17" max="17" width="15.42578125" style="164" customWidth="1"/>
    <col min="18" max="18" width="13.5703125" style="427" customWidth="1"/>
    <col min="19" max="19" width="10.28515625" style="271" hidden="1" customWidth="1"/>
    <col min="20" max="24" width="0" style="271" hidden="1" customWidth="1"/>
    <col min="25" max="28" width="9.140625" style="271"/>
    <col min="29" max="256" width="9.140625" style="135"/>
    <col min="257" max="257" width="5.85546875" style="135" customWidth="1"/>
    <col min="258" max="258" width="32.85546875" style="135" customWidth="1"/>
    <col min="259" max="259" width="32" style="135" customWidth="1"/>
    <col min="260" max="260" width="11.28515625" style="135" bestFit="1" customWidth="1"/>
    <col min="261" max="261" width="8.140625" style="135" customWidth="1"/>
    <col min="262" max="262" width="7.28515625" style="135" customWidth="1"/>
    <col min="263" max="263" width="107.7109375" style="135" customWidth="1"/>
    <col min="264" max="264" width="9.140625" style="135" customWidth="1"/>
    <col min="265" max="265" width="12.5703125" style="135" customWidth="1"/>
    <col min="266" max="266" width="13.140625" style="135" customWidth="1"/>
    <col min="267" max="267" width="12.140625" style="135" customWidth="1"/>
    <col min="268" max="268" width="11.28515625" style="135" customWidth="1"/>
    <col min="269" max="269" width="12.140625" style="135" customWidth="1"/>
    <col min="270" max="270" width="9.140625" style="135" customWidth="1"/>
    <col min="271" max="271" width="9.28515625" style="135" customWidth="1"/>
    <col min="272" max="272" width="2.28515625" style="135" customWidth="1"/>
    <col min="273" max="273" width="9.28515625" style="135" bestFit="1" customWidth="1"/>
    <col min="274" max="512" width="9.140625" style="135"/>
    <col min="513" max="513" width="5.85546875" style="135" customWidth="1"/>
    <col min="514" max="514" width="32.85546875" style="135" customWidth="1"/>
    <col min="515" max="515" width="32" style="135" customWidth="1"/>
    <col min="516" max="516" width="11.28515625" style="135" bestFit="1" customWidth="1"/>
    <col min="517" max="517" width="8.140625" style="135" customWidth="1"/>
    <col min="518" max="518" width="7.28515625" style="135" customWidth="1"/>
    <col min="519" max="519" width="107.7109375" style="135" customWidth="1"/>
    <col min="520" max="520" width="9.140625" style="135" customWidth="1"/>
    <col min="521" max="521" width="12.5703125" style="135" customWidth="1"/>
    <col min="522" max="522" width="13.140625" style="135" customWidth="1"/>
    <col min="523" max="523" width="12.140625" style="135" customWidth="1"/>
    <col min="524" max="524" width="11.28515625" style="135" customWidth="1"/>
    <col min="525" max="525" width="12.140625" style="135" customWidth="1"/>
    <col min="526" max="526" width="9.140625" style="135" customWidth="1"/>
    <col min="527" max="527" width="9.28515625" style="135" customWidth="1"/>
    <col min="528" max="528" width="2.28515625" style="135" customWidth="1"/>
    <col min="529" max="529" width="9.28515625" style="135" bestFit="1" customWidth="1"/>
    <col min="530" max="768" width="9.140625" style="135"/>
    <col min="769" max="769" width="5.85546875" style="135" customWidth="1"/>
    <col min="770" max="770" width="32.85546875" style="135" customWidth="1"/>
    <col min="771" max="771" width="32" style="135" customWidth="1"/>
    <col min="772" max="772" width="11.28515625" style="135" bestFit="1" customWidth="1"/>
    <col min="773" max="773" width="8.140625" style="135" customWidth="1"/>
    <col min="774" max="774" width="7.28515625" style="135" customWidth="1"/>
    <col min="775" max="775" width="107.7109375" style="135" customWidth="1"/>
    <col min="776" max="776" width="9.140625" style="135" customWidth="1"/>
    <col min="777" max="777" width="12.5703125" style="135" customWidth="1"/>
    <col min="778" max="778" width="13.140625" style="135" customWidth="1"/>
    <col min="779" max="779" width="12.140625" style="135" customWidth="1"/>
    <col min="780" max="780" width="11.28515625" style="135" customWidth="1"/>
    <col min="781" max="781" width="12.140625" style="135" customWidth="1"/>
    <col min="782" max="782" width="9.140625" style="135" customWidth="1"/>
    <col min="783" max="783" width="9.28515625" style="135" customWidth="1"/>
    <col min="784" max="784" width="2.28515625" style="135" customWidth="1"/>
    <col min="785" max="785" width="9.28515625" style="135" bestFit="1" customWidth="1"/>
    <col min="786" max="1024" width="9.140625" style="135"/>
    <col min="1025" max="1025" width="5.85546875" style="135" customWidth="1"/>
    <col min="1026" max="1026" width="32.85546875" style="135" customWidth="1"/>
    <col min="1027" max="1027" width="32" style="135" customWidth="1"/>
    <col min="1028" max="1028" width="11.28515625" style="135" bestFit="1" customWidth="1"/>
    <col min="1029" max="1029" width="8.140625" style="135" customWidth="1"/>
    <col min="1030" max="1030" width="7.28515625" style="135" customWidth="1"/>
    <col min="1031" max="1031" width="107.7109375" style="135" customWidth="1"/>
    <col min="1032" max="1032" width="9.140625" style="135" customWidth="1"/>
    <col min="1033" max="1033" width="12.5703125" style="135" customWidth="1"/>
    <col min="1034" max="1034" width="13.140625" style="135" customWidth="1"/>
    <col min="1035" max="1035" width="12.140625" style="135" customWidth="1"/>
    <col min="1036" max="1036" width="11.28515625" style="135" customWidth="1"/>
    <col min="1037" max="1037" width="12.140625" style="135" customWidth="1"/>
    <col min="1038" max="1038" width="9.140625" style="135" customWidth="1"/>
    <col min="1039" max="1039" width="9.28515625" style="135" customWidth="1"/>
    <col min="1040" max="1040" width="2.28515625" style="135" customWidth="1"/>
    <col min="1041" max="1041" width="9.28515625" style="135" bestFit="1" customWidth="1"/>
    <col min="1042" max="1280" width="9.140625" style="135"/>
    <col min="1281" max="1281" width="5.85546875" style="135" customWidth="1"/>
    <col min="1282" max="1282" width="32.85546875" style="135" customWidth="1"/>
    <col min="1283" max="1283" width="32" style="135" customWidth="1"/>
    <col min="1284" max="1284" width="11.28515625" style="135" bestFit="1" customWidth="1"/>
    <col min="1285" max="1285" width="8.140625" style="135" customWidth="1"/>
    <col min="1286" max="1286" width="7.28515625" style="135" customWidth="1"/>
    <col min="1287" max="1287" width="107.7109375" style="135" customWidth="1"/>
    <col min="1288" max="1288" width="9.140625" style="135" customWidth="1"/>
    <col min="1289" max="1289" width="12.5703125" style="135" customWidth="1"/>
    <col min="1290" max="1290" width="13.140625" style="135" customWidth="1"/>
    <col min="1291" max="1291" width="12.140625" style="135" customWidth="1"/>
    <col min="1292" max="1292" width="11.28515625" style="135" customWidth="1"/>
    <col min="1293" max="1293" width="12.140625" style="135" customWidth="1"/>
    <col min="1294" max="1294" width="9.140625" style="135" customWidth="1"/>
    <col min="1295" max="1295" width="9.28515625" style="135" customWidth="1"/>
    <col min="1296" max="1296" width="2.28515625" style="135" customWidth="1"/>
    <col min="1297" max="1297" width="9.28515625" style="135" bestFit="1" customWidth="1"/>
    <col min="1298" max="1536" width="9.140625" style="135"/>
    <col min="1537" max="1537" width="5.85546875" style="135" customWidth="1"/>
    <col min="1538" max="1538" width="32.85546875" style="135" customWidth="1"/>
    <col min="1539" max="1539" width="32" style="135" customWidth="1"/>
    <col min="1540" max="1540" width="11.28515625" style="135" bestFit="1" customWidth="1"/>
    <col min="1541" max="1541" width="8.140625" style="135" customWidth="1"/>
    <col min="1542" max="1542" width="7.28515625" style="135" customWidth="1"/>
    <col min="1543" max="1543" width="107.7109375" style="135" customWidth="1"/>
    <col min="1544" max="1544" width="9.140625" style="135" customWidth="1"/>
    <col min="1545" max="1545" width="12.5703125" style="135" customWidth="1"/>
    <col min="1546" max="1546" width="13.140625" style="135" customWidth="1"/>
    <col min="1547" max="1547" width="12.140625" style="135" customWidth="1"/>
    <col min="1548" max="1548" width="11.28515625" style="135" customWidth="1"/>
    <col min="1549" max="1549" width="12.140625" style="135" customWidth="1"/>
    <col min="1550" max="1550" width="9.140625" style="135" customWidth="1"/>
    <col min="1551" max="1551" width="9.28515625" style="135" customWidth="1"/>
    <col min="1552" max="1552" width="2.28515625" style="135" customWidth="1"/>
    <col min="1553" max="1553" width="9.28515625" style="135" bestFit="1" customWidth="1"/>
    <col min="1554" max="1792" width="9.140625" style="135"/>
    <col min="1793" max="1793" width="5.85546875" style="135" customWidth="1"/>
    <col min="1794" max="1794" width="32.85546875" style="135" customWidth="1"/>
    <col min="1795" max="1795" width="32" style="135" customWidth="1"/>
    <col min="1796" max="1796" width="11.28515625" style="135" bestFit="1" customWidth="1"/>
    <col min="1797" max="1797" width="8.140625" style="135" customWidth="1"/>
    <col min="1798" max="1798" width="7.28515625" style="135" customWidth="1"/>
    <col min="1799" max="1799" width="107.7109375" style="135" customWidth="1"/>
    <col min="1800" max="1800" width="9.140625" style="135" customWidth="1"/>
    <col min="1801" max="1801" width="12.5703125" style="135" customWidth="1"/>
    <col min="1802" max="1802" width="13.140625" style="135" customWidth="1"/>
    <col min="1803" max="1803" width="12.140625" style="135" customWidth="1"/>
    <col min="1804" max="1804" width="11.28515625" style="135" customWidth="1"/>
    <col min="1805" max="1805" width="12.140625" style="135" customWidth="1"/>
    <col min="1806" max="1806" width="9.140625" style="135" customWidth="1"/>
    <col min="1807" max="1807" width="9.28515625" style="135" customWidth="1"/>
    <col min="1808" max="1808" width="2.28515625" style="135" customWidth="1"/>
    <col min="1809" max="1809" width="9.28515625" style="135" bestFit="1" customWidth="1"/>
    <col min="1810" max="2048" width="9.140625" style="135"/>
    <col min="2049" max="2049" width="5.85546875" style="135" customWidth="1"/>
    <col min="2050" max="2050" width="32.85546875" style="135" customWidth="1"/>
    <col min="2051" max="2051" width="32" style="135" customWidth="1"/>
    <col min="2052" max="2052" width="11.28515625" style="135" bestFit="1" customWidth="1"/>
    <col min="2053" max="2053" width="8.140625" style="135" customWidth="1"/>
    <col min="2054" max="2054" width="7.28515625" style="135" customWidth="1"/>
    <col min="2055" max="2055" width="107.7109375" style="135" customWidth="1"/>
    <col min="2056" max="2056" width="9.140625" style="135" customWidth="1"/>
    <col min="2057" max="2057" width="12.5703125" style="135" customWidth="1"/>
    <col min="2058" max="2058" width="13.140625" style="135" customWidth="1"/>
    <col min="2059" max="2059" width="12.140625" style="135" customWidth="1"/>
    <col min="2060" max="2060" width="11.28515625" style="135" customWidth="1"/>
    <col min="2061" max="2061" width="12.140625" style="135" customWidth="1"/>
    <col min="2062" max="2062" width="9.140625" style="135" customWidth="1"/>
    <col min="2063" max="2063" width="9.28515625" style="135" customWidth="1"/>
    <col min="2064" max="2064" width="2.28515625" style="135" customWidth="1"/>
    <col min="2065" max="2065" width="9.28515625" style="135" bestFit="1" customWidth="1"/>
    <col min="2066" max="2304" width="9.140625" style="135"/>
    <col min="2305" max="2305" width="5.85546875" style="135" customWidth="1"/>
    <col min="2306" max="2306" width="32.85546875" style="135" customWidth="1"/>
    <col min="2307" max="2307" width="32" style="135" customWidth="1"/>
    <col min="2308" max="2308" width="11.28515625" style="135" bestFit="1" customWidth="1"/>
    <col min="2309" max="2309" width="8.140625" style="135" customWidth="1"/>
    <col min="2310" max="2310" width="7.28515625" style="135" customWidth="1"/>
    <col min="2311" max="2311" width="107.7109375" style="135" customWidth="1"/>
    <col min="2312" max="2312" width="9.140625" style="135" customWidth="1"/>
    <col min="2313" max="2313" width="12.5703125" style="135" customWidth="1"/>
    <col min="2314" max="2314" width="13.140625" style="135" customWidth="1"/>
    <col min="2315" max="2315" width="12.140625" style="135" customWidth="1"/>
    <col min="2316" max="2316" width="11.28515625" style="135" customWidth="1"/>
    <col min="2317" max="2317" width="12.140625" style="135" customWidth="1"/>
    <col min="2318" max="2318" width="9.140625" style="135" customWidth="1"/>
    <col min="2319" max="2319" width="9.28515625" style="135" customWidth="1"/>
    <col min="2320" max="2320" width="2.28515625" style="135" customWidth="1"/>
    <col min="2321" max="2321" width="9.28515625" style="135" bestFit="1" customWidth="1"/>
    <col min="2322" max="2560" width="9.140625" style="135"/>
    <col min="2561" max="2561" width="5.85546875" style="135" customWidth="1"/>
    <col min="2562" max="2562" width="32.85546875" style="135" customWidth="1"/>
    <col min="2563" max="2563" width="32" style="135" customWidth="1"/>
    <col min="2564" max="2564" width="11.28515625" style="135" bestFit="1" customWidth="1"/>
    <col min="2565" max="2565" width="8.140625" style="135" customWidth="1"/>
    <col min="2566" max="2566" width="7.28515625" style="135" customWidth="1"/>
    <col min="2567" max="2567" width="107.7109375" style="135" customWidth="1"/>
    <col min="2568" max="2568" width="9.140625" style="135" customWidth="1"/>
    <col min="2569" max="2569" width="12.5703125" style="135" customWidth="1"/>
    <col min="2570" max="2570" width="13.140625" style="135" customWidth="1"/>
    <col min="2571" max="2571" width="12.140625" style="135" customWidth="1"/>
    <col min="2572" max="2572" width="11.28515625" style="135" customWidth="1"/>
    <col min="2573" max="2573" width="12.140625" style="135" customWidth="1"/>
    <col min="2574" max="2574" width="9.140625" style="135" customWidth="1"/>
    <col min="2575" max="2575" width="9.28515625" style="135" customWidth="1"/>
    <col min="2576" max="2576" width="2.28515625" style="135" customWidth="1"/>
    <col min="2577" max="2577" width="9.28515625" style="135" bestFit="1" customWidth="1"/>
    <col min="2578" max="2816" width="9.140625" style="135"/>
    <col min="2817" max="2817" width="5.85546875" style="135" customWidth="1"/>
    <col min="2818" max="2818" width="32.85546875" style="135" customWidth="1"/>
    <col min="2819" max="2819" width="32" style="135" customWidth="1"/>
    <col min="2820" max="2820" width="11.28515625" style="135" bestFit="1" customWidth="1"/>
    <col min="2821" max="2821" width="8.140625" style="135" customWidth="1"/>
    <col min="2822" max="2822" width="7.28515625" style="135" customWidth="1"/>
    <col min="2823" max="2823" width="107.7109375" style="135" customWidth="1"/>
    <col min="2824" max="2824" width="9.140625" style="135" customWidth="1"/>
    <col min="2825" max="2825" width="12.5703125" style="135" customWidth="1"/>
    <col min="2826" max="2826" width="13.140625" style="135" customWidth="1"/>
    <col min="2827" max="2827" width="12.140625" style="135" customWidth="1"/>
    <col min="2828" max="2828" width="11.28515625" style="135" customWidth="1"/>
    <col min="2829" max="2829" width="12.140625" style="135" customWidth="1"/>
    <col min="2830" max="2830" width="9.140625" style="135" customWidth="1"/>
    <col min="2831" max="2831" width="9.28515625" style="135" customWidth="1"/>
    <col min="2832" max="2832" width="2.28515625" style="135" customWidth="1"/>
    <col min="2833" max="2833" width="9.28515625" style="135" bestFit="1" customWidth="1"/>
    <col min="2834" max="3072" width="9.140625" style="135"/>
    <col min="3073" max="3073" width="5.85546875" style="135" customWidth="1"/>
    <col min="3074" max="3074" width="32.85546875" style="135" customWidth="1"/>
    <col min="3075" max="3075" width="32" style="135" customWidth="1"/>
    <col min="3076" max="3076" width="11.28515625" style="135" bestFit="1" customWidth="1"/>
    <col min="3077" max="3077" width="8.140625" style="135" customWidth="1"/>
    <col min="3078" max="3078" width="7.28515625" style="135" customWidth="1"/>
    <col min="3079" max="3079" width="107.7109375" style="135" customWidth="1"/>
    <col min="3080" max="3080" width="9.140625" style="135" customWidth="1"/>
    <col min="3081" max="3081" width="12.5703125" style="135" customWidth="1"/>
    <col min="3082" max="3082" width="13.140625" style="135" customWidth="1"/>
    <col min="3083" max="3083" width="12.140625" style="135" customWidth="1"/>
    <col min="3084" max="3084" width="11.28515625" style="135" customWidth="1"/>
    <col min="3085" max="3085" width="12.140625" style="135" customWidth="1"/>
    <col min="3086" max="3086" width="9.140625" style="135" customWidth="1"/>
    <col min="3087" max="3087" width="9.28515625" style="135" customWidth="1"/>
    <col min="3088" max="3088" width="2.28515625" style="135" customWidth="1"/>
    <col min="3089" max="3089" width="9.28515625" style="135" bestFit="1" customWidth="1"/>
    <col min="3090" max="3328" width="9.140625" style="135"/>
    <col min="3329" max="3329" width="5.85546875" style="135" customWidth="1"/>
    <col min="3330" max="3330" width="32.85546875" style="135" customWidth="1"/>
    <col min="3331" max="3331" width="32" style="135" customWidth="1"/>
    <col min="3332" max="3332" width="11.28515625" style="135" bestFit="1" customWidth="1"/>
    <col min="3333" max="3333" width="8.140625" style="135" customWidth="1"/>
    <col min="3334" max="3334" width="7.28515625" style="135" customWidth="1"/>
    <col min="3335" max="3335" width="107.7109375" style="135" customWidth="1"/>
    <col min="3336" max="3336" width="9.140625" style="135" customWidth="1"/>
    <col min="3337" max="3337" width="12.5703125" style="135" customWidth="1"/>
    <col min="3338" max="3338" width="13.140625" style="135" customWidth="1"/>
    <col min="3339" max="3339" width="12.140625" style="135" customWidth="1"/>
    <col min="3340" max="3340" width="11.28515625" style="135" customWidth="1"/>
    <col min="3341" max="3341" width="12.140625" style="135" customWidth="1"/>
    <col min="3342" max="3342" width="9.140625" style="135" customWidth="1"/>
    <col min="3343" max="3343" width="9.28515625" style="135" customWidth="1"/>
    <col min="3344" max="3344" width="2.28515625" style="135" customWidth="1"/>
    <col min="3345" max="3345" width="9.28515625" style="135" bestFit="1" customWidth="1"/>
    <col min="3346" max="3584" width="9.140625" style="135"/>
    <col min="3585" max="3585" width="5.85546875" style="135" customWidth="1"/>
    <col min="3586" max="3586" width="32.85546875" style="135" customWidth="1"/>
    <col min="3587" max="3587" width="32" style="135" customWidth="1"/>
    <col min="3588" max="3588" width="11.28515625" style="135" bestFit="1" customWidth="1"/>
    <col min="3589" max="3589" width="8.140625" style="135" customWidth="1"/>
    <col min="3590" max="3590" width="7.28515625" style="135" customWidth="1"/>
    <col min="3591" max="3591" width="107.7109375" style="135" customWidth="1"/>
    <col min="3592" max="3592" width="9.140625" style="135" customWidth="1"/>
    <col min="3593" max="3593" width="12.5703125" style="135" customWidth="1"/>
    <col min="3594" max="3594" width="13.140625" style="135" customWidth="1"/>
    <col min="3595" max="3595" width="12.140625" style="135" customWidth="1"/>
    <col min="3596" max="3596" width="11.28515625" style="135" customWidth="1"/>
    <col min="3597" max="3597" width="12.140625" style="135" customWidth="1"/>
    <col min="3598" max="3598" width="9.140625" style="135" customWidth="1"/>
    <col min="3599" max="3599" width="9.28515625" style="135" customWidth="1"/>
    <col min="3600" max="3600" width="2.28515625" style="135" customWidth="1"/>
    <col min="3601" max="3601" width="9.28515625" style="135" bestFit="1" customWidth="1"/>
    <col min="3602" max="3840" width="9.140625" style="135"/>
    <col min="3841" max="3841" width="5.85546875" style="135" customWidth="1"/>
    <col min="3842" max="3842" width="32.85546875" style="135" customWidth="1"/>
    <col min="3843" max="3843" width="32" style="135" customWidth="1"/>
    <col min="3844" max="3844" width="11.28515625" style="135" bestFit="1" customWidth="1"/>
    <col min="3845" max="3845" width="8.140625" style="135" customWidth="1"/>
    <col min="3846" max="3846" width="7.28515625" style="135" customWidth="1"/>
    <col min="3847" max="3847" width="107.7109375" style="135" customWidth="1"/>
    <col min="3848" max="3848" width="9.140625" style="135" customWidth="1"/>
    <col min="3849" max="3849" width="12.5703125" style="135" customWidth="1"/>
    <col min="3850" max="3850" width="13.140625" style="135" customWidth="1"/>
    <col min="3851" max="3851" width="12.140625" style="135" customWidth="1"/>
    <col min="3852" max="3852" width="11.28515625" style="135" customWidth="1"/>
    <col min="3853" max="3853" width="12.140625" style="135" customWidth="1"/>
    <col min="3854" max="3854" width="9.140625" style="135" customWidth="1"/>
    <col min="3855" max="3855" width="9.28515625" style="135" customWidth="1"/>
    <col min="3856" max="3856" width="2.28515625" style="135" customWidth="1"/>
    <col min="3857" max="3857" width="9.28515625" style="135" bestFit="1" customWidth="1"/>
    <col min="3858" max="4096" width="9.140625" style="135"/>
    <col min="4097" max="4097" width="5.85546875" style="135" customWidth="1"/>
    <col min="4098" max="4098" width="32.85546875" style="135" customWidth="1"/>
    <col min="4099" max="4099" width="32" style="135" customWidth="1"/>
    <col min="4100" max="4100" width="11.28515625" style="135" bestFit="1" customWidth="1"/>
    <col min="4101" max="4101" width="8.140625" style="135" customWidth="1"/>
    <col min="4102" max="4102" width="7.28515625" style="135" customWidth="1"/>
    <col min="4103" max="4103" width="107.7109375" style="135" customWidth="1"/>
    <col min="4104" max="4104" width="9.140625" style="135" customWidth="1"/>
    <col min="4105" max="4105" width="12.5703125" style="135" customWidth="1"/>
    <col min="4106" max="4106" width="13.140625" style="135" customWidth="1"/>
    <col min="4107" max="4107" width="12.140625" style="135" customWidth="1"/>
    <col min="4108" max="4108" width="11.28515625" style="135" customWidth="1"/>
    <col min="4109" max="4109" width="12.140625" style="135" customWidth="1"/>
    <col min="4110" max="4110" width="9.140625" style="135" customWidth="1"/>
    <col min="4111" max="4111" width="9.28515625" style="135" customWidth="1"/>
    <col min="4112" max="4112" width="2.28515625" style="135" customWidth="1"/>
    <col min="4113" max="4113" width="9.28515625" style="135" bestFit="1" customWidth="1"/>
    <col min="4114" max="4352" width="9.140625" style="135"/>
    <col min="4353" max="4353" width="5.85546875" style="135" customWidth="1"/>
    <col min="4354" max="4354" width="32.85546875" style="135" customWidth="1"/>
    <col min="4355" max="4355" width="32" style="135" customWidth="1"/>
    <col min="4356" max="4356" width="11.28515625" style="135" bestFit="1" customWidth="1"/>
    <col min="4357" max="4357" width="8.140625" style="135" customWidth="1"/>
    <col min="4358" max="4358" width="7.28515625" style="135" customWidth="1"/>
    <col min="4359" max="4359" width="107.7109375" style="135" customWidth="1"/>
    <col min="4360" max="4360" width="9.140625" style="135" customWidth="1"/>
    <col min="4361" max="4361" width="12.5703125" style="135" customWidth="1"/>
    <col min="4362" max="4362" width="13.140625" style="135" customWidth="1"/>
    <col min="4363" max="4363" width="12.140625" style="135" customWidth="1"/>
    <col min="4364" max="4364" width="11.28515625" style="135" customWidth="1"/>
    <col min="4365" max="4365" width="12.140625" style="135" customWidth="1"/>
    <col min="4366" max="4366" width="9.140625" style="135" customWidth="1"/>
    <col min="4367" max="4367" width="9.28515625" style="135" customWidth="1"/>
    <col min="4368" max="4368" width="2.28515625" style="135" customWidth="1"/>
    <col min="4369" max="4369" width="9.28515625" style="135" bestFit="1" customWidth="1"/>
    <col min="4370" max="4608" width="9.140625" style="135"/>
    <col min="4609" max="4609" width="5.85546875" style="135" customWidth="1"/>
    <col min="4610" max="4610" width="32.85546875" style="135" customWidth="1"/>
    <col min="4611" max="4611" width="32" style="135" customWidth="1"/>
    <col min="4612" max="4612" width="11.28515625" style="135" bestFit="1" customWidth="1"/>
    <col min="4613" max="4613" width="8.140625" style="135" customWidth="1"/>
    <col min="4614" max="4614" width="7.28515625" style="135" customWidth="1"/>
    <col min="4615" max="4615" width="107.7109375" style="135" customWidth="1"/>
    <col min="4616" max="4616" width="9.140625" style="135" customWidth="1"/>
    <col min="4617" max="4617" width="12.5703125" style="135" customWidth="1"/>
    <col min="4618" max="4618" width="13.140625" style="135" customWidth="1"/>
    <col min="4619" max="4619" width="12.140625" style="135" customWidth="1"/>
    <col min="4620" max="4620" width="11.28515625" style="135" customWidth="1"/>
    <col min="4621" max="4621" width="12.140625" style="135" customWidth="1"/>
    <col min="4622" max="4622" width="9.140625" style="135" customWidth="1"/>
    <col min="4623" max="4623" width="9.28515625" style="135" customWidth="1"/>
    <col min="4624" max="4624" width="2.28515625" style="135" customWidth="1"/>
    <col min="4625" max="4625" width="9.28515625" style="135" bestFit="1" customWidth="1"/>
    <col min="4626" max="4864" width="9.140625" style="135"/>
    <col min="4865" max="4865" width="5.85546875" style="135" customWidth="1"/>
    <col min="4866" max="4866" width="32.85546875" style="135" customWidth="1"/>
    <col min="4867" max="4867" width="32" style="135" customWidth="1"/>
    <col min="4868" max="4868" width="11.28515625" style="135" bestFit="1" customWidth="1"/>
    <col min="4869" max="4869" width="8.140625" style="135" customWidth="1"/>
    <col min="4870" max="4870" width="7.28515625" style="135" customWidth="1"/>
    <col min="4871" max="4871" width="107.7109375" style="135" customWidth="1"/>
    <col min="4872" max="4872" width="9.140625" style="135" customWidth="1"/>
    <col min="4873" max="4873" width="12.5703125" style="135" customWidth="1"/>
    <col min="4874" max="4874" width="13.140625" style="135" customWidth="1"/>
    <col min="4875" max="4875" width="12.140625" style="135" customWidth="1"/>
    <col min="4876" max="4876" width="11.28515625" style="135" customWidth="1"/>
    <col min="4877" max="4877" width="12.140625" style="135" customWidth="1"/>
    <col min="4878" max="4878" width="9.140625" style="135" customWidth="1"/>
    <col min="4879" max="4879" width="9.28515625" style="135" customWidth="1"/>
    <col min="4880" max="4880" width="2.28515625" style="135" customWidth="1"/>
    <col min="4881" max="4881" width="9.28515625" style="135" bestFit="1" customWidth="1"/>
    <col min="4882" max="5120" width="9.140625" style="135"/>
    <col min="5121" max="5121" width="5.85546875" style="135" customWidth="1"/>
    <col min="5122" max="5122" width="32.85546875" style="135" customWidth="1"/>
    <col min="5123" max="5123" width="32" style="135" customWidth="1"/>
    <col min="5124" max="5124" width="11.28515625" style="135" bestFit="1" customWidth="1"/>
    <col min="5125" max="5125" width="8.140625" style="135" customWidth="1"/>
    <col min="5126" max="5126" width="7.28515625" style="135" customWidth="1"/>
    <col min="5127" max="5127" width="107.7109375" style="135" customWidth="1"/>
    <col min="5128" max="5128" width="9.140625" style="135" customWidth="1"/>
    <col min="5129" max="5129" width="12.5703125" style="135" customWidth="1"/>
    <col min="5130" max="5130" width="13.140625" style="135" customWidth="1"/>
    <col min="5131" max="5131" width="12.140625" style="135" customWidth="1"/>
    <col min="5132" max="5132" width="11.28515625" style="135" customWidth="1"/>
    <col min="5133" max="5133" width="12.140625" style="135" customWidth="1"/>
    <col min="5134" max="5134" width="9.140625" style="135" customWidth="1"/>
    <col min="5135" max="5135" width="9.28515625" style="135" customWidth="1"/>
    <col min="5136" max="5136" width="2.28515625" style="135" customWidth="1"/>
    <col min="5137" max="5137" width="9.28515625" style="135" bestFit="1" customWidth="1"/>
    <col min="5138" max="5376" width="9.140625" style="135"/>
    <col min="5377" max="5377" width="5.85546875" style="135" customWidth="1"/>
    <col min="5378" max="5378" width="32.85546875" style="135" customWidth="1"/>
    <col min="5379" max="5379" width="32" style="135" customWidth="1"/>
    <col min="5380" max="5380" width="11.28515625" style="135" bestFit="1" customWidth="1"/>
    <col min="5381" max="5381" width="8.140625" style="135" customWidth="1"/>
    <col min="5382" max="5382" width="7.28515625" style="135" customWidth="1"/>
    <col min="5383" max="5383" width="107.7109375" style="135" customWidth="1"/>
    <col min="5384" max="5384" width="9.140625" style="135" customWidth="1"/>
    <col min="5385" max="5385" width="12.5703125" style="135" customWidth="1"/>
    <col min="5386" max="5386" width="13.140625" style="135" customWidth="1"/>
    <col min="5387" max="5387" width="12.140625" style="135" customWidth="1"/>
    <col min="5388" max="5388" width="11.28515625" style="135" customWidth="1"/>
    <col min="5389" max="5389" width="12.140625" style="135" customWidth="1"/>
    <col min="5390" max="5390" width="9.140625" style="135" customWidth="1"/>
    <col min="5391" max="5391" width="9.28515625" style="135" customWidth="1"/>
    <col min="5392" max="5392" width="2.28515625" style="135" customWidth="1"/>
    <col min="5393" max="5393" width="9.28515625" style="135" bestFit="1" customWidth="1"/>
    <col min="5394" max="5632" width="9.140625" style="135"/>
    <col min="5633" max="5633" width="5.85546875" style="135" customWidth="1"/>
    <col min="5634" max="5634" width="32.85546875" style="135" customWidth="1"/>
    <col min="5635" max="5635" width="32" style="135" customWidth="1"/>
    <col min="5636" max="5636" width="11.28515625" style="135" bestFit="1" customWidth="1"/>
    <col min="5637" max="5637" width="8.140625" style="135" customWidth="1"/>
    <col min="5638" max="5638" width="7.28515625" style="135" customWidth="1"/>
    <col min="5639" max="5639" width="107.7109375" style="135" customWidth="1"/>
    <col min="5640" max="5640" width="9.140625" style="135" customWidth="1"/>
    <col min="5641" max="5641" width="12.5703125" style="135" customWidth="1"/>
    <col min="5642" max="5642" width="13.140625" style="135" customWidth="1"/>
    <col min="5643" max="5643" width="12.140625" style="135" customWidth="1"/>
    <col min="5644" max="5644" width="11.28515625" style="135" customWidth="1"/>
    <col min="5645" max="5645" width="12.140625" style="135" customWidth="1"/>
    <col min="5646" max="5646" width="9.140625" style="135" customWidth="1"/>
    <col min="5647" max="5647" width="9.28515625" style="135" customWidth="1"/>
    <col min="5648" max="5648" width="2.28515625" style="135" customWidth="1"/>
    <col min="5649" max="5649" width="9.28515625" style="135" bestFit="1" customWidth="1"/>
    <col min="5650" max="5888" width="9.140625" style="135"/>
    <col min="5889" max="5889" width="5.85546875" style="135" customWidth="1"/>
    <col min="5890" max="5890" width="32.85546875" style="135" customWidth="1"/>
    <col min="5891" max="5891" width="32" style="135" customWidth="1"/>
    <col min="5892" max="5892" width="11.28515625" style="135" bestFit="1" customWidth="1"/>
    <col min="5893" max="5893" width="8.140625" style="135" customWidth="1"/>
    <col min="5894" max="5894" width="7.28515625" style="135" customWidth="1"/>
    <col min="5895" max="5895" width="107.7109375" style="135" customWidth="1"/>
    <col min="5896" max="5896" width="9.140625" style="135" customWidth="1"/>
    <col min="5897" max="5897" width="12.5703125" style="135" customWidth="1"/>
    <col min="5898" max="5898" width="13.140625" style="135" customWidth="1"/>
    <col min="5899" max="5899" width="12.140625" style="135" customWidth="1"/>
    <col min="5900" max="5900" width="11.28515625" style="135" customWidth="1"/>
    <col min="5901" max="5901" width="12.140625" style="135" customWidth="1"/>
    <col min="5902" max="5902" width="9.140625" style="135" customWidth="1"/>
    <col min="5903" max="5903" width="9.28515625" style="135" customWidth="1"/>
    <col min="5904" max="5904" width="2.28515625" style="135" customWidth="1"/>
    <col min="5905" max="5905" width="9.28515625" style="135" bestFit="1" customWidth="1"/>
    <col min="5906" max="6144" width="9.140625" style="135"/>
    <col min="6145" max="6145" width="5.85546875" style="135" customWidth="1"/>
    <col min="6146" max="6146" width="32.85546875" style="135" customWidth="1"/>
    <col min="6147" max="6147" width="32" style="135" customWidth="1"/>
    <col min="6148" max="6148" width="11.28515625" style="135" bestFit="1" customWidth="1"/>
    <col min="6149" max="6149" width="8.140625" style="135" customWidth="1"/>
    <col min="6150" max="6150" width="7.28515625" style="135" customWidth="1"/>
    <col min="6151" max="6151" width="107.7109375" style="135" customWidth="1"/>
    <col min="6152" max="6152" width="9.140625" style="135" customWidth="1"/>
    <col min="6153" max="6153" width="12.5703125" style="135" customWidth="1"/>
    <col min="6154" max="6154" width="13.140625" style="135" customWidth="1"/>
    <col min="6155" max="6155" width="12.140625" style="135" customWidth="1"/>
    <col min="6156" max="6156" width="11.28515625" style="135" customWidth="1"/>
    <col min="6157" max="6157" width="12.140625" style="135" customWidth="1"/>
    <col min="6158" max="6158" width="9.140625" style="135" customWidth="1"/>
    <col min="6159" max="6159" width="9.28515625" style="135" customWidth="1"/>
    <col min="6160" max="6160" width="2.28515625" style="135" customWidth="1"/>
    <col min="6161" max="6161" width="9.28515625" style="135" bestFit="1" customWidth="1"/>
    <col min="6162" max="6400" width="9.140625" style="135"/>
    <col min="6401" max="6401" width="5.85546875" style="135" customWidth="1"/>
    <col min="6402" max="6402" width="32.85546875" style="135" customWidth="1"/>
    <col min="6403" max="6403" width="32" style="135" customWidth="1"/>
    <col min="6404" max="6404" width="11.28515625" style="135" bestFit="1" customWidth="1"/>
    <col min="6405" max="6405" width="8.140625" style="135" customWidth="1"/>
    <col min="6406" max="6406" width="7.28515625" style="135" customWidth="1"/>
    <col min="6407" max="6407" width="107.7109375" style="135" customWidth="1"/>
    <col min="6408" max="6408" width="9.140625" style="135" customWidth="1"/>
    <col min="6409" max="6409" width="12.5703125" style="135" customWidth="1"/>
    <col min="6410" max="6410" width="13.140625" style="135" customWidth="1"/>
    <col min="6411" max="6411" width="12.140625" style="135" customWidth="1"/>
    <col min="6412" max="6412" width="11.28515625" style="135" customWidth="1"/>
    <col min="6413" max="6413" width="12.140625" style="135" customWidth="1"/>
    <col min="6414" max="6414" width="9.140625" style="135" customWidth="1"/>
    <col min="6415" max="6415" width="9.28515625" style="135" customWidth="1"/>
    <col min="6416" max="6416" width="2.28515625" style="135" customWidth="1"/>
    <col min="6417" max="6417" width="9.28515625" style="135" bestFit="1" customWidth="1"/>
    <col min="6418" max="6656" width="9.140625" style="135"/>
    <col min="6657" max="6657" width="5.85546875" style="135" customWidth="1"/>
    <col min="6658" max="6658" width="32.85546875" style="135" customWidth="1"/>
    <col min="6659" max="6659" width="32" style="135" customWidth="1"/>
    <col min="6660" max="6660" width="11.28515625" style="135" bestFit="1" customWidth="1"/>
    <col min="6661" max="6661" width="8.140625" style="135" customWidth="1"/>
    <col min="6662" max="6662" width="7.28515625" style="135" customWidth="1"/>
    <col min="6663" max="6663" width="107.7109375" style="135" customWidth="1"/>
    <col min="6664" max="6664" width="9.140625" style="135" customWidth="1"/>
    <col min="6665" max="6665" width="12.5703125" style="135" customWidth="1"/>
    <col min="6666" max="6666" width="13.140625" style="135" customWidth="1"/>
    <col min="6667" max="6667" width="12.140625" style="135" customWidth="1"/>
    <col min="6668" max="6668" width="11.28515625" style="135" customWidth="1"/>
    <col min="6669" max="6669" width="12.140625" style="135" customWidth="1"/>
    <col min="6670" max="6670" width="9.140625" style="135" customWidth="1"/>
    <col min="6671" max="6671" width="9.28515625" style="135" customWidth="1"/>
    <col min="6672" max="6672" width="2.28515625" style="135" customWidth="1"/>
    <col min="6673" max="6673" width="9.28515625" style="135" bestFit="1" customWidth="1"/>
    <col min="6674" max="6912" width="9.140625" style="135"/>
    <col min="6913" max="6913" width="5.85546875" style="135" customWidth="1"/>
    <col min="6914" max="6914" width="32.85546875" style="135" customWidth="1"/>
    <col min="6915" max="6915" width="32" style="135" customWidth="1"/>
    <col min="6916" max="6916" width="11.28515625" style="135" bestFit="1" customWidth="1"/>
    <col min="6917" max="6917" width="8.140625" style="135" customWidth="1"/>
    <col min="6918" max="6918" width="7.28515625" style="135" customWidth="1"/>
    <col min="6919" max="6919" width="107.7109375" style="135" customWidth="1"/>
    <col min="6920" max="6920" width="9.140625" style="135" customWidth="1"/>
    <col min="6921" max="6921" width="12.5703125" style="135" customWidth="1"/>
    <col min="6922" max="6922" width="13.140625" style="135" customWidth="1"/>
    <col min="6923" max="6923" width="12.140625" style="135" customWidth="1"/>
    <col min="6924" max="6924" width="11.28515625" style="135" customWidth="1"/>
    <col min="6925" max="6925" width="12.140625" style="135" customWidth="1"/>
    <col min="6926" max="6926" width="9.140625" style="135" customWidth="1"/>
    <col min="6927" max="6927" width="9.28515625" style="135" customWidth="1"/>
    <col min="6928" max="6928" width="2.28515625" style="135" customWidth="1"/>
    <col min="6929" max="6929" width="9.28515625" style="135" bestFit="1" customWidth="1"/>
    <col min="6930" max="7168" width="9.140625" style="135"/>
    <col min="7169" max="7169" width="5.85546875" style="135" customWidth="1"/>
    <col min="7170" max="7170" width="32.85546875" style="135" customWidth="1"/>
    <col min="7171" max="7171" width="32" style="135" customWidth="1"/>
    <col min="7172" max="7172" width="11.28515625" style="135" bestFit="1" customWidth="1"/>
    <col min="7173" max="7173" width="8.140625" style="135" customWidth="1"/>
    <col min="7174" max="7174" width="7.28515625" style="135" customWidth="1"/>
    <col min="7175" max="7175" width="107.7109375" style="135" customWidth="1"/>
    <col min="7176" max="7176" width="9.140625" style="135" customWidth="1"/>
    <col min="7177" max="7177" width="12.5703125" style="135" customWidth="1"/>
    <col min="7178" max="7178" width="13.140625" style="135" customWidth="1"/>
    <col min="7179" max="7179" width="12.140625" style="135" customWidth="1"/>
    <col min="7180" max="7180" width="11.28515625" style="135" customWidth="1"/>
    <col min="7181" max="7181" width="12.140625" style="135" customWidth="1"/>
    <col min="7182" max="7182" width="9.140625" style="135" customWidth="1"/>
    <col min="7183" max="7183" width="9.28515625" style="135" customWidth="1"/>
    <col min="7184" max="7184" width="2.28515625" style="135" customWidth="1"/>
    <col min="7185" max="7185" width="9.28515625" style="135" bestFit="1" customWidth="1"/>
    <col min="7186" max="7424" width="9.140625" style="135"/>
    <col min="7425" max="7425" width="5.85546875" style="135" customWidth="1"/>
    <col min="7426" max="7426" width="32.85546875" style="135" customWidth="1"/>
    <col min="7427" max="7427" width="32" style="135" customWidth="1"/>
    <col min="7428" max="7428" width="11.28515625" style="135" bestFit="1" customWidth="1"/>
    <col min="7429" max="7429" width="8.140625" style="135" customWidth="1"/>
    <col min="7430" max="7430" width="7.28515625" style="135" customWidth="1"/>
    <col min="7431" max="7431" width="107.7109375" style="135" customWidth="1"/>
    <col min="7432" max="7432" width="9.140625" style="135" customWidth="1"/>
    <col min="7433" max="7433" width="12.5703125" style="135" customWidth="1"/>
    <col min="7434" max="7434" width="13.140625" style="135" customWidth="1"/>
    <col min="7435" max="7435" width="12.140625" style="135" customWidth="1"/>
    <col min="7436" max="7436" width="11.28515625" style="135" customWidth="1"/>
    <col min="7437" max="7437" width="12.140625" style="135" customWidth="1"/>
    <col min="7438" max="7438" width="9.140625" style="135" customWidth="1"/>
    <col min="7439" max="7439" width="9.28515625" style="135" customWidth="1"/>
    <col min="7440" max="7440" width="2.28515625" style="135" customWidth="1"/>
    <col min="7441" max="7441" width="9.28515625" style="135" bestFit="1" customWidth="1"/>
    <col min="7442" max="7680" width="9.140625" style="135"/>
    <col min="7681" max="7681" width="5.85546875" style="135" customWidth="1"/>
    <col min="7682" max="7682" width="32.85546875" style="135" customWidth="1"/>
    <col min="7683" max="7683" width="32" style="135" customWidth="1"/>
    <col min="7684" max="7684" width="11.28515625" style="135" bestFit="1" customWidth="1"/>
    <col min="7685" max="7685" width="8.140625" style="135" customWidth="1"/>
    <col min="7686" max="7686" width="7.28515625" style="135" customWidth="1"/>
    <col min="7687" max="7687" width="107.7109375" style="135" customWidth="1"/>
    <col min="7688" max="7688" width="9.140625" style="135" customWidth="1"/>
    <col min="7689" max="7689" width="12.5703125" style="135" customWidth="1"/>
    <col min="7690" max="7690" width="13.140625" style="135" customWidth="1"/>
    <col min="7691" max="7691" width="12.140625" style="135" customWidth="1"/>
    <col min="7692" max="7692" width="11.28515625" style="135" customWidth="1"/>
    <col min="7693" max="7693" width="12.140625" style="135" customWidth="1"/>
    <col min="7694" max="7694" width="9.140625" style="135" customWidth="1"/>
    <col min="7695" max="7695" width="9.28515625" style="135" customWidth="1"/>
    <col min="7696" max="7696" width="2.28515625" style="135" customWidth="1"/>
    <col min="7697" max="7697" width="9.28515625" style="135" bestFit="1" customWidth="1"/>
    <col min="7698" max="7936" width="9.140625" style="135"/>
    <col min="7937" max="7937" width="5.85546875" style="135" customWidth="1"/>
    <col min="7938" max="7938" width="32.85546875" style="135" customWidth="1"/>
    <col min="7939" max="7939" width="32" style="135" customWidth="1"/>
    <col min="7940" max="7940" width="11.28515625" style="135" bestFit="1" customWidth="1"/>
    <col min="7941" max="7941" width="8.140625" style="135" customWidth="1"/>
    <col min="7942" max="7942" width="7.28515625" style="135" customWidth="1"/>
    <col min="7943" max="7943" width="107.7109375" style="135" customWidth="1"/>
    <col min="7944" max="7944" width="9.140625" style="135" customWidth="1"/>
    <col min="7945" max="7945" width="12.5703125" style="135" customWidth="1"/>
    <col min="7946" max="7946" width="13.140625" style="135" customWidth="1"/>
    <col min="7947" max="7947" width="12.140625" style="135" customWidth="1"/>
    <col min="7948" max="7948" width="11.28515625" style="135" customWidth="1"/>
    <col min="7949" max="7949" width="12.140625" style="135" customWidth="1"/>
    <col min="7950" max="7950" width="9.140625" style="135" customWidth="1"/>
    <col min="7951" max="7951" width="9.28515625" style="135" customWidth="1"/>
    <col min="7952" max="7952" width="2.28515625" style="135" customWidth="1"/>
    <col min="7953" max="7953" width="9.28515625" style="135" bestFit="1" customWidth="1"/>
    <col min="7954" max="8192" width="9.140625" style="135"/>
    <col min="8193" max="8193" width="5.85546875" style="135" customWidth="1"/>
    <col min="8194" max="8194" width="32.85546875" style="135" customWidth="1"/>
    <col min="8195" max="8195" width="32" style="135" customWidth="1"/>
    <col min="8196" max="8196" width="11.28515625" style="135" bestFit="1" customWidth="1"/>
    <col min="8197" max="8197" width="8.140625" style="135" customWidth="1"/>
    <col min="8198" max="8198" width="7.28515625" style="135" customWidth="1"/>
    <col min="8199" max="8199" width="107.7109375" style="135" customWidth="1"/>
    <col min="8200" max="8200" width="9.140625" style="135" customWidth="1"/>
    <col min="8201" max="8201" width="12.5703125" style="135" customWidth="1"/>
    <col min="8202" max="8202" width="13.140625" style="135" customWidth="1"/>
    <col min="8203" max="8203" width="12.140625" style="135" customWidth="1"/>
    <col min="8204" max="8204" width="11.28515625" style="135" customWidth="1"/>
    <col min="8205" max="8205" width="12.140625" style="135" customWidth="1"/>
    <col min="8206" max="8206" width="9.140625" style="135" customWidth="1"/>
    <col min="8207" max="8207" width="9.28515625" style="135" customWidth="1"/>
    <col min="8208" max="8208" width="2.28515625" style="135" customWidth="1"/>
    <col min="8209" max="8209" width="9.28515625" style="135" bestFit="1" customWidth="1"/>
    <col min="8210" max="8448" width="9.140625" style="135"/>
    <col min="8449" max="8449" width="5.85546875" style="135" customWidth="1"/>
    <col min="8450" max="8450" width="32.85546875" style="135" customWidth="1"/>
    <col min="8451" max="8451" width="32" style="135" customWidth="1"/>
    <col min="8452" max="8452" width="11.28515625" style="135" bestFit="1" customWidth="1"/>
    <col min="8453" max="8453" width="8.140625" style="135" customWidth="1"/>
    <col min="8454" max="8454" width="7.28515625" style="135" customWidth="1"/>
    <col min="8455" max="8455" width="107.7109375" style="135" customWidth="1"/>
    <col min="8456" max="8456" width="9.140625" style="135" customWidth="1"/>
    <col min="8457" max="8457" width="12.5703125" style="135" customWidth="1"/>
    <col min="8458" max="8458" width="13.140625" style="135" customWidth="1"/>
    <col min="8459" max="8459" width="12.140625" style="135" customWidth="1"/>
    <col min="8460" max="8460" width="11.28515625" style="135" customWidth="1"/>
    <col min="8461" max="8461" width="12.140625" style="135" customWidth="1"/>
    <col min="8462" max="8462" width="9.140625" style="135" customWidth="1"/>
    <col min="8463" max="8463" width="9.28515625" style="135" customWidth="1"/>
    <col min="8464" max="8464" width="2.28515625" style="135" customWidth="1"/>
    <col min="8465" max="8465" width="9.28515625" style="135" bestFit="1" customWidth="1"/>
    <col min="8466" max="8704" width="9.140625" style="135"/>
    <col min="8705" max="8705" width="5.85546875" style="135" customWidth="1"/>
    <col min="8706" max="8706" width="32.85546875" style="135" customWidth="1"/>
    <col min="8707" max="8707" width="32" style="135" customWidth="1"/>
    <col min="8708" max="8708" width="11.28515625" style="135" bestFit="1" customWidth="1"/>
    <col min="8709" max="8709" width="8.140625" style="135" customWidth="1"/>
    <col min="8710" max="8710" width="7.28515625" style="135" customWidth="1"/>
    <col min="8711" max="8711" width="107.7109375" style="135" customWidth="1"/>
    <col min="8712" max="8712" width="9.140625" style="135" customWidth="1"/>
    <col min="8713" max="8713" width="12.5703125" style="135" customWidth="1"/>
    <col min="8714" max="8714" width="13.140625" style="135" customWidth="1"/>
    <col min="8715" max="8715" width="12.140625" style="135" customWidth="1"/>
    <col min="8716" max="8716" width="11.28515625" style="135" customWidth="1"/>
    <col min="8717" max="8717" width="12.140625" style="135" customWidth="1"/>
    <col min="8718" max="8718" width="9.140625" style="135" customWidth="1"/>
    <col min="8719" max="8719" width="9.28515625" style="135" customWidth="1"/>
    <col min="8720" max="8720" width="2.28515625" style="135" customWidth="1"/>
    <col min="8721" max="8721" width="9.28515625" style="135" bestFit="1" customWidth="1"/>
    <col min="8722" max="8960" width="9.140625" style="135"/>
    <col min="8961" max="8961" width="5.85546875" style="135" customWidth="1"/>
    <col min="8962" max="8962" width="32.85546875" style="135" customWidth="1"/>
    <col min="8963" max="8963" width="32" style="135" customWidth="1"/>
    <col min="8964" max="8964" width="11.28515625" style="135" bestFit="1" customWidth="1"/>
    <col min="8965" max="8965" width="8.140625" style="135" customWidth="1"/>
    <col min="8966" max="8966" width="7.28515625" style="135" customWidth="1"/>
    <col min="8967" max="8967" width="107.7109375" style="135" customWidth="1"/>
    <col min="8968" max="8968" width="9.140625" style="135" customWidth="1"/>
    <col min="8969" max="8969" width="12.5703125" style="135" customWidth="1"/>
    <col min="8970" max="8970" width="13.140625" style="135" customWidth="1"/>
    <col min="8971" max="8971" width="12.140625" style="135" customWidth="1"/>
    <col min="8972" max="8972" width="11.28515625" style="135" customWidth="1"/>
    <col min="8973" max="8973" width="12.140625" style="135" customWidth="1"/>
    <col min="8974" max="8974" width="9.140625" style="135" customWidth="1"/>
    <col min="8975" max="8975" width="9.28515625" style="135" customWidth="1"/>
    <col min="8976" max="8976" width="2.28515625" style="135" customWidth="1"/>
    <col min="8977" max="8977" width="9.28515625" style="135" bestFit="1" customWidth="1"/>
    <col min="8978" max="9216" width="9.140625" style="135"/>
    <col min="9217" max="9217" width="5.85546875" style="135" customWidth="1"/>
    <col min="9218" max="9218" width="32.85546875" style="135" customWidth="1"/>
    <col min="9219" max="9219" width="32" style="135" customWidth="1"/>
    <col min="9220" max="9220" width="11.28515625" style="135" bestFit="1" customWidth="1"/>
    <col min="9221" max="9221" width="8.140625" style="135" customWidth="1"/>
    <col min="9222" max="9222" width="7.28515625" style="135" customWidth="1"/>
    <col min="9223" max="9223" width="107.7109375" style="135" customWidth="1"/>
    <col min="9224" max="9224" width="9.140625" style="135" customWidth="1"/>
    <col min="9225" max="9225" width="12.5703125" style="135" customWidth="1"/>
    <col min="9226" max="9226" width="13.140625" style="135" customWidth="1"/>
    <col min="9227" max="9227" width="12.140625" style="135" customWidth="1"/>
    <col min="9228" max="9228" width="11.28515625" style="135" customWidth="1"/>
    <col min="9229" max="9229" width="12.140625" style="135" customWidth="1"/>
    <col min="9230" max="9230" width="9.140625" style="135" customWidth="1"/>
    <col min="9231" max="9231" width="9.28515625" style="135" customWidth="1"/>
    <col min="9232" max="9232" width="2.28515625" style="135" customWidth="1"/>
    <col min="9233" max="9233" width="9.28515625" style="135" bestFit="1" customWidth="1"/>
    <col min="9234" max="9472" width="9.140625" style="135"/>
    <col min="9473" max="9473" width="5.85546875" style="135" customWidth="1"/>
    <col min="9474" max="9474" width="32.85546875" style="135" customWidth="1"/>
    <col min="9475" max="9475" width="32" style="135" customWidth="1"/>
    <col min="9476" max="9476" width="11.28515625" style="135" bestFit="1" customWidth="1"/>
    <col min="9477" max="9477" width="8.140625" style="135" customWidth="1"/>
    <col min="9478" max="9478" width="7.28515625" style="135" customWidth="1"/>
    <col min="9479" max="9479" width="107.7109375" style="135" customWidth="1"/>
    <col min="9480" max="9480" width="9.140625" style="135" customWidth="1"/>
    <col min="9481" max="9481" width="12.5703125" style="135" customWidth="1"/>
    <col min="9482" max="9482" width="13.140625" style="135" customWidth="1"/>
    <col min="9483" max="9483" width="12.140625" style="135" customWidth="1"/>
    <col min="9484" max="9484" width="11.28515625" style="135" customWidth="1"/>
    <col min="9485" max="9485" width="12.140625" style="135" customWidth="1"/>
    <col min="9486" max="9486" width="9.140625" style="135" customWidth="1"/>
    <col min="9487" max="9487" width="9.28515625" style="135" customWidth="1"/>
    <col min="9488" max="9488" width="2.28515625" style="135" customWidth="1"/>
    <col min="9489" max="9489" width="9.28515625" style="135" bestFit="1" customWidth="1"/>
    <col min="9490" max="9728" width="9.140625" style="135"/>
    <col min="9729" max="9729" width="5.85546875" style="135" customWidth="1"/>
    <col min="9730" max="9730" width="32.85546875" style="135" customWidth="1"/>
    <col min="9731" max="9731" width="32" style="135" customWidth="1"/>
    <col min="9732" max="9732" width="11.28515625" style="135" bestFit="1" customWidth="1"/>
    <col min="9733" max="9733" width="8.140625" style="135" customWidth="1"/>
    <col min="9734" max="9734" width="7.28515625" style="135" customWidth="1"/>
    <col min="9735" max="9735" width="107.7109375" style="135" customWidth="1"/>
    <col min="9736" max="9736" width="9.140625" style="135" customWidth="1"/>
    <col min="9737" max="9737" width="12.5703125" style="135" customWidth="1"/>
    <col min="9738" max="9738" width="13.140625" style="135" customWidth="1"/>
    <col min="9739" max="9739" width="12.140625" style="135" customWidth="1"/>
    <col min="9740" max="9740" width="11.28515625" style="135" customWidth="1"/>
    <col min="9741" max="9741" width="12.140625" style="135" customWidth="1"/>
    <col min="9742" max="9742" width="9.140625" style="135" customWidth="1"/>
    <col min="9743" max="9743" width="9.28515625" style="135" customWidth="1"/>
    <col min="9744" max="9744" width="2.28515625" style="135" customWidth="1"/>
    <col min="9745" max="9745" width="9.28515625" style="135" bestFit="1" customWidth="1"/>
    <col min="9746" max="9984" width="9.140625" style="135"/>
    <col min="9985" max="9985" width="5.85546875" style="135" customWidth="1"/>
    <col min="9986" max="9986" width="32.85546875" style="135" customWidth="1"/>
    <col min="9987" max="9987" width="32" style="135" customWidth="1"/>
    <col min="9988" max="9988" width="11.28515625" style="135" bestFit="1" customWidth="1"/>
    <col min="9989" max="9989" width="8.140625" style="135" customWidth="1"/>
    <col min="9990" max="9990" width="7.28515625" style="135" customWidth="1"/>
    <col min="9991" max="9991" width="107.7109375" style="135" customWidth="1"/>
    <col min="9992" max="9992" width="9.140625" style="135" customWidth="1"/>
    <col min="9993" max="9993" width="12.5703125" style="135" customWidth="1"/>
    <col min="9994" max="9994" width="13.140625" style="135" customWidth="1"/>
    <col min="9995" max="9995" width="12.140625" style="135" customWidth="1"/>
    <col min="9996" max="9996" width="11.28515625" style="135" customWidth="1"/>
    <col min="9997" max="9997" width="12.140625" style="135" customWidth="1"/>
    <col min="9998" max="9998" width="9.140625" style="135" customWidth="1"/>
    <col min="9999" max="9999" width="9.28515625" style="135" customWidth="1"/>
    <col min="10000" max="10000" width="2.28515625" style="135" customWidth="1"/>
    <col min="10001" max="10001" width="9.28515625" style="135" bestFit="1" customWidth="1"/>
    <col min="10002" max="10240" width="9.140625" style="135"/>
    <col min="10241" max="10241" width="5.85546875" style="135" customWidth="1"/>
    <col min="10242" max="10242" width="32.85546875" style="135" customWidth="1"/>
    <col min="10243" max="10243" width="32" style="135" customWidth="1"/>
    <col min="10244" max="10244" width="11.28515625" style="135" bestFit="1" customWidth="1"/>
    <col min="10245" max="10245" width="8.140625" style="135" customWidth="1"/>
    <col min="10246" max="10246" width="7.28515625" style="135" customWidth="1"/>
    <col min="10247" max="10247" width="107.7109375" style="135" customWidth="1"/>
    <col min="10248" max="10248" width="9.140625" style="135" customWidth="1"/>
    <col min="10249" max="10249" width="12.5703125" style="135" customWidth="1"/>
    <col min="10250" max="10250" width="13.140625" style="135" customWidth="1"/>
    <col min="10251" max="10251" width="12.140625" style="135" customWidth="1"/>
    <col min="10252" max="10252" width="11.28515625" style="135" customWidth="1"/>
    <col min="10253" max="10253" width="12.140625" style="135" customWidth="1"/>
    <col min="10254" max="10254" width="9.140625" style="135" customWidth="1"/>
    <col min="10255" max="10255" width="9.28515625" style="135" customWidth="1"/>
    <col min="10256" max="10256" width="2.28515625" style="135" customWidth="1"/>
    <col min="10257" max="10257" width="9.28515625" style="135" bestFit="1" customWidth="1"/>
    <col min="10258" max="10496" width="9.140625" style="135"/>
    <col min="10497" max="10497" width="5.85546875" style="135" customWidth="1"/>
    <col min="10498" max="10498" width="32.85546875" style="135" customWidth="1"/>
    <col min="10499" max="10499" width="32" style="135" customWidth="1"/>
    <col min="10500" max="10500" width="11.28515625" style="135" bestFit="1" customWidth="1"/>
    <col min="10501" max="10501" width="8.140625" style="135" customWidth="1"/>
    <col min="10502" max="10502" width="7.28515625" style="135" customWidth="1"/>
    <col min="10503" max="10503" width="107.7109375" style="135" customWidth="1"/>
    <col min="10504" max="10504" width="9.140625" style="135" customWidth="1"/>
    <col min="10505" max="10505" width="12.5703125" style="135" customWidth="1"/>
    <col min="10506" max="10506" width="13.140625" style="135" customWidth="1"/>
    <col min="10507" max="10507" width="12.140625" style="135" customWidth="1"/>
    <col min="10508" max="10508" width="11.28515625" style="135" customWidth="1"/>
    <col min="10509" max="10509" width="12.140625" style="135" customWidth="1"/>
    <col min="10510" max="10510" width="9.140625" style="135" customWidth="1"/>
    <col min="10511" max="10511" width="9.28515625" style="135" customWidth="1"/>
    <col min="10512" max="10512" width="2.28515625" style="135" customWidth="1"/>
    <col min="10513" max="10513" width="9.28515625" style="135" bestFit="1" customWidth="1"/>
    <col min="10514" max="10752" width="9.140625" style="135"/>
    <col min="10753" max="10753" width="5.85546875" style="135" customWidth="1"/>
    <col min="10754" max="10754" width="32.85546875" style="135" customWidth="1"/>
    <col min="10755" max="10755" width="32" style="135" customWidth="1"/>
    <col min="10756" max="10756" width="11.28515625" style="135" bestFit="1" customWidth="1"/>
    <col min="10757" max="10757" width="8.140625" style="135" customWidth="1"/>
    <col min="10758" max="10758" width="7.28515625" style="135" customWidth="1"/>
    <col min="10759" max="10759" width="107.7109375" style="135" customWidth="1"/>
    <col min="10760" max="10760" width="9.140625" style="135" customWidth="1"/>
    <col min="10761" max="10761" width="12.5703125" style="135" customWidth="1"/>
    <col min="10762" max="10762" width="13.140625" style="135" customWidth="1"/>
    <col min="10763" max="10763" width="12.140625" style="135" customWidth="1"/>
    <col min="10764" max="10764" width="11.28515625" style="135" customWidth="1"/>
    <col min="10765" max="10765" width="12.140625" style="135" customWidth="1"/>
    <col min="10766" max="10766" width="9.140625" style="135" customWidth="1"/>
    <col min="10767" max="10767" width="9.28515625" style="135" customWidth="1"/>
    <col min="10768" max="10768" width="2.28515625" style="135" customWidth="1"/>
    <col min="10769" max="10769" width="9.28515625" style="135" bestFit="1" customWidth="1"/>
    <col min="10770" max="11008" width="9.140625" style="135"/>
    <col min="11009" max="11009" width="5.85546875" style="135" customWidth="1"/>
    <col min="11010" max="11010" width="32.85546875" style="135" customWidth="1"/>
    <col min="11011" max="11011" width="32" style="135" customWidth="1"/>
    <col min="11012" max="11012" width="11.28515625" style="135" bestFit="1" customWidth="1"/>
    <col min="11013" max="11013" width="8.140625" style="135" customWidth="1"/>
    <col min="11014" max="11014" width="7.28515625" style="135" customWidth="1"/>
    <col min="11015" max="11015" width="107.7109375" style="135" customWidth="1"/>
    <col min="11016" max="11016" width="9.140625" style="135" customWidth="1"/>
    <col min="11017" max="11017" width="12.5703125" style="135" customWidth="1"/>
    <col min="11018" max="11018" width="13.140625" style="135" customWidth="1"/>
    <col min="11019" max="11019" width="12.140625" style="135" customWidth="1"/>
    <col min="11020" max="11020" width="11.28515625" style="135" customWidth="1"/>
    <col min="11021" max="11021" width="12.140625" style="135" customWidth="1"/>
    <col min="11022" max="11022" width="9.140625" style="135" customWidth="1"/>
    <col min="11023" max="11023" width="9.28515625" style="135" customWidth="1"/>
    <col min="11024" max="11024" width="2.28515625" style="135" customWidth="1"/>
    <col min="11025" max="11025" width="9.28515625" style="135" bestFit="1" customWidth="1"/>
    <col min="11026" max="11264" width="9.140625" style="135"/>
    <col min="11265" max="11265" width="5.85546875" style="135" customWidth="1"/>
    <col min="11266" max="11266" width="32.85546875" style="135" customWidth="1"/>
    <col min="11267" max="11267" width="32" style="135" customWidth="1"/>
    <col min="11268" max="11268" width="11.28515625" style="135" bestFit="1" customWidth="1"/>
    <col min="11269" max="11269" width="8.140625" style="135" customWidth="1"/>
    <col min="11270" max="11270" width="7.28515625" style="135" customWidth="1"/>
    <col min="11271" max="11271" width="107.7109375" style="135" customWidth="1"/>
    <col min="11272" max="11272" width="9.140625" style="135" customWidth="1"/>
    <col min="11273" max="11273" width="12.5703125" style="135" customWidth="1"/>
    <col min="11274" max="11274" width="13.140625" style="135" customWidth="1"/>
    <col min="11275" max="11275" width="12.140625" style="135" customWidth="1"/>
    <col min="11276" max="11276" width="11.28515625" style="135" customWidth="1"/>
    <col min="11277" max="11277" width="12.140625" style="135" customWidth="1"/>
    <col min="11278" max="11278" width="9.140625" style="135" customWidth="1"/>
    <col min="11279" max="11279" width="9.28515625" style="135" customWidth="1"/>
    <col min="11280" max="11280" width="2.28515625" style="135" customWidth="1"/>
    <col min="11281" max="11281" width="9.28515625" style="135" bestFit="1" customWidth="1"/>
    <col min="11282" max="11520" width="9.140625" style="135"/>
    <col min="11521" max="11521" width="5.85546875" style="135" customWidth="1"/>
    <col min="11522" max="11522" width="32.85546875" style="135" customWidth="1"/>
    <col min="11523" max="11523" width="32" style="135" customWidth="1"/>
    <col min="11524" max="11524" width="11.28515625" style="135" bestFit="1" customWidth="1"/>
    <col min="11525" max="11525" width="8.140625" style="135" customWidth="1"/>
    <col min="11526" max="11526" width="7.28515625" style="135" customWidth="1"/>
    <col min="11527" max="11527" width="107.7109375" style="135" customWidth="1"/>
    <col min="11528" max="11528" width="9.140625" style="135" customWidth="1"/>
    <col min="11529" max="11529" width="12.5703125" style="135" customWidth="1"/>
    <col min="11530" max="11530" width="13.140625" style="135" customWidth="1"/>
    <col min="11531" max="11531" width="12.140625" style="135" customWidth="1"/>
    <col min="11532" max="11532" width="11.28515625" style="135" customWidth="1"/>
    <col min="11533" max="11533" width="12.140625" style="135" customWidth="1"/>
    <col min="11534" max="11534" width="9.140625" style="135" customWidth="1"/>
    <col min="11535" max="11535" width="9.28515625" style="135" customWidth="1"/>
    <col min="11536" max="11536" width="2.28515625" style="135" customWidth="1"/>
    <col min="11537" max="11537" width="9.28515625" style="135" bestFit="1" customWidth="1"/>
    <col min="11538" max="11776" width="9.140625" style="135"/>
    <col min="11777" max="11777" width="5.85546875" style="135" customWidth="1"/>
    <col min="11778" max="11778" width="32.85546875" style="135" customWidth="1"/>
    <col min="11779" max="11779" width="32" style="135" customWidth="1"/>
    <col min="11780" max="11780" width="11.28515625" style="135" bestFit="1" customWidth="1"/>
    <col min="11781" max="11781" width="8.140625" style="135" customWidth="1"/>
    <col min="11782" max="11782" width="7.28515625" style="135" customWidth="1"/>
    <col min="11783" max="11783" width="107.7109375" style="135" customWidth="1"/>
    <col min="11784" max="11784" width="9.140625" style="135" customWidth="1"/>
    <col min="11785" max="11785" width="12.5703125" style="135" customWidth="1"/>
    <col min="11786" max="11786" width="13.140625" style="135" customWidth="1"/>
    <col min="11787" max="11787" width="12.140625" style="135" customWidth="1"/>
    <col min="11788" max="11788" width="11.28515625" style="135" customWidth="1"/>
    <col min="11789" max="11789" width="12.140625" style="135" customWidth="1"/>
    <col min="11790" max="11790" width="9.140625" style="135" customWidth="1"/>
    <col min="11791" max="11791" width="9.28515625" style="135" customWidth="1"/>
    <col min="11792" max="11792" width="2.28515625" style="135" customWidth="1"/>
    <col min="11793" max="11793" width="9.28515625" style="135" bestFit="1" customWidth="1"/>
    <col min="11794" max="12032" width="9.140625" style="135"/>
    <col min="12033" max="12033" width="5.85546875" style="135" customWidth="1"/>
    <col min="12034" max="12034" width="32.85546875" style="135" customWidth="1"/>
    <col min="12035" max="12035" width="32" style="135" customWidth="1"/>
    <col min="12036" max="12036" width="11.28515625" style="135" bestFit="1" customWidth="1"/>
    <col min="12037" max="12037" width="8.140625" style="135" customWidth="1"/>
    <col min="12038" max="12038" width="7.28515625" style="135" customWidth="1"/>
    <col min="12039" max="12039" width="107.7109375" style="135" customWidth="1"/>
    <col min="12040" max="12040" width="9.140625" style="135" customWidth="1"/>
    <col min="12041" max="12041" width="12.5703125" style="135" customWidth="1"/>
    <col min="12042" max="12042" width="13.140625" style="135" customWidth="1"/>
    <col min="12043" max="12043" width="12.140625" style="135" customWidth="1"/>
    <col min="12044" max="12044" width="11.28515625" style="135" customWidth="1"/>
    <col min="12045" max="12045" width="12.140625" style="135" customWidth="1"/>
    <col min="12046" max="12046" width="9.140625" style="135" customWidth="1"/>
    <col min="12047" max="12047" width="9.28515625" style="135" customWidth="1"/>
    <col min="12048" max="12048" width="2.28515625" style="135" customWidth="1"/>
    <col min="12049" max="12049" width="9.28515625" style="135" bestFit="1" customWidth="1"/>
    <col min="12050" max="12288" width="9.140625" style="135"/>
    <col min="12289" max="12289" width="5.85546875" style="135" customWidth="1"/>
    <col min="12290" max="12290" width="32.85546875" style="135" customWidth="1"/>
    <col min="12291" max="12291" width="32" style="135" customWidth="1"/>
    <col min="12292" max="12292" width="11.28515625" style="135" bestFit="1" customWidth="1"/>
    <col min="12293" max="12293" width="8.140625" style="135" customWidth="1"/>
    <col min="12294" max="12294" width="7.28515625" style="135" customWidth="1"/>
    <col min="12295" max="12295" width="107.7109375" style="135" customWidth="1"/>
    <col min="12296" max="12296" width="9.140625" style="135" customWidth="1"/>
    <col min="12297" max="12297" width="12.5703125" style="135" customWidth="1"/>
    <col min="12298" max="12298" width="13.140625" style="135" customWidth="1"/>
    <col min="12299" max="12299" width="12.140625" style="135" customWidth="1"/>
    <col min="12300" max="12300" width="11.28515625" style="135" customWidth="1"/>
    <col min="12301" max="12301" width="12.140625" style="135" customWidth="1"/>
    <col min="12302" max="12302" width="9.140625" style="135" customWidth="1"/>
    <col min="12303" max="12303" width="9.28515625" style="135" customWidth="1"/>
    <col min="12304" max="12304" width="2.28515625" style="135" customWidth="1"/>
    <col min="12305" max="12305" width="9.28515625" style="135" bestFit="1" customWidth="1"/>
    <col min="12306" max="12544" width="9.140625" style="135"/>
    <col min="12545" max="12545" width="5.85546875" style="135" customWidth="1"/>
    <col min="12546" max="12546" width="32.85546875" style="135" customWidth="1"/>
    <col min="12547" max="12547" width="32" style="135" customWidth="1"/>
    <col min="12548" max="12548" width="11.28515625" style="135" bestFit="1" customWidth="1"/>
    <col min="12549" max="12549" width="8.140625" style="135" customWidth="1"/>
    <col min="12550" max="12550" width="7.28515625" style="135" customWidth="1"/>
    <col min="12551" max="12551" width="107.7109375" style="135" customWidth="1"/>
    <col min="12552" max="12552" width="9.140625" style="135" customWidth="1"/>
    <col min="12553" max="12553" width="12.5703125" style="135" customWidth="1"/>
    <col min="12554" max="12554" width="13.140625" style="135" customWidth="1"/>
    <col min="12555" max="12555" width="12.140625" style="135" customWidth="1"/>
    <col min="12556" max="12556" width="11.28515625" style="135" customWidth="1"/>
    <col min="12557" max="12557" width="12.140625" style="135" customWidth="1"/>
    <col min="12558" max="12558" width="9.140625" style="135" customWidth="1"/>
    <col min="12559" max="12559" width="9.28515625" style="135" customWidth="1"/>
    <col min="12560" max="12560" width="2.28515625" style="135" customWidth="1"/>
    <col min="12561" max="12561" width="9.28515625" style="135" bestFit="1" customWidth="1"/>
    <col min="12562" max="12800" width="9.140625" style="135"/>
    <col min="12801" max="12801" width="5.85546875" style="135" customWidth="1"/>
    <col min="12802" max="12802" width="32.85546875" style="135" customWidth="1"/>
    <col min="12803" max="12803" width="32" style="135" customWidth="1"/>
    <col min="12804" max="12804" width="11.28515625" style="135" bestFit="1" customWidth="1"/>
    <col min="12805" max="12805" width="8.140625" style="135" customWidth="1"/>
    <col min="12806" max="12806" width="7.28515625" style="135" customWidth="1"/>
    <col min="12807" max="12807" width="107.7109375" style="135" customWidth="1"/>
    <col min="12808" max="12808" width="9.140625" style="135" customWidth="1"/>
    <col min="12809" max="12809" width="12.5703125" style="135" customWidth="1"/>
    <col min="12810" max="12810" width="13.140625" style="135" customWidth="1"/>
    <col min="12811" max="12811" width="12.140625" style="135" customWidth="1"/>
    <col min="12812" max="12812" width="11.28515625" style="135" customWidth="1"/>
    <col min="12813" max="12813" width="12.140625" style="135" customWidth="1"/>
    <col min="12814" max="12814" width="9.140625" style="135" customWidth="1"/>
    <col min="12815" max="12815" width="9.28515625" style="135" customWidth="1"/>
    <col min="12816" max="12816" width="2.28515625" style="135" customWidth="1"/>
    <col min="12817" max="12817" width="9.28515625" style="135" bestFit="1" customWidth="1"/>
    <col min="12818" max="13056" width="9.140625" style="135"/>
    <col min="13057" max="13057" width="5.85546875" style="135" customWidth="1"/>
    <col min="13058" max="13058" width="32.85546875" style="135" customWidth="1"/>
    <col min="13059" max="13059" width="32" style="135" customWidth="1"/>
    <col min="13060" max="13060" width="11.28515625" style="135" bestFit="1" customWidth="1"/>
    <col min="13061" max="13061" width="8.140625" style="135" customWidth="1"/>
    <col min="13062" max="13062" width="7.28515625" style="135" customWidth="1"/>
    <col min="13063" max="13063" width="107.7109375" style="135" customWidth="1"/>
    <col min="13064" max="13064" width="9.140625" style="135" customWidth="1"/>
    <col min="13065" max="13065" width="12.5703125" style="135" customWidth="1"/>
    <col min="13066" max="13066" width="13.140625" style="135" customWidth="1"/>
    <col min="13067" max="13067" width="12.140625" style="135" customWidth="1"/>
    <col min="13068" max="13068" width="11.28515625" style="135" customWidth="1"/>
    <col min="13069" max="13069" width="12.140625" style="135" customWidth="1"/>
    <col min="13070" max="13070" width="9.140625" style="135" customWidth="1"/>
    <col min="13071" max="13071" width="9.28515625" style="135" customWidth="1"/>
    <col min="13072" max="13072" width="2.28515625" style="135" customWidth="1"/>
    <col min="13073" max="13073" width="9.28515625" style="135" bestFit="1" customWidth="1"/>
    <col min="13074" max="13312" width="9.140625" style="135"/>
    <col min="13313" max="13313" width="5.85546875" style="135" customWidth="1"/>
    <col min="13314" max="13314" width="32.85546875" style="135" customWidth="1"/>
    <col min="13315" max="13315" width="32" style="135" customWidth="1"/>
    <col min="13316" max="13316" width="11.28515625" style="135" bestFit="1" customWidth="1"/>
    <col min="13317" max="13317" width="8.140625" style="135" customWidth="1"/>
    <col min="13318" max="13318" width="7.28515625" style="135" customWidth="1"/>
    <col min="13319" max="13319" width="107.7109375" style="135" customWidth="1"/>
    <col min="13320" max="13320" width="9.140625" style="135" customWidth="1"/>
    <col min="13321" max="13321" width="12.5703125" style="135" customWidth="1"/>
    <col min="13322" max="13322" width="13.140625" style="135" customWidth="1"/>
    <col min="13323" max="13323" width="12.140625" style="135" customWidth="1"/>
    <col min="13324" max="13324" width="11.28515625" style="135" customWidth="1"/>
    <col min="13325" max="13325" width="12.140625" style="135" customWidth="1"/>
    <col min="13326" max="13326" width="9.140625" style="135" customWidth="1"/>
    <col min="13327" max="13327" width="9.28515625" style="135" customWidth="1"/>
    <col min="13328" max="13328" width="2.28515625" style="135" customWidth="1"/>
    <col min="13329" max="13329" width="9.28515625" style="135" bestFit="1" customWidth="1"/>
    <col min="13330" max="13568" width="9.140625" style="135"/>
    <col min="13569" max="13569" width="5.85546875" style="135" customWidth="1"/>
    <col min="13570" max="13570" width="32.85546875" style="135" customWidth="1"/>
    <col min="13571" max="13571" width="32" style="135" customWidth="1"/>
    <col min="13572" max="13572" width="11.28515625" style="135" bestFit="1" customWidth="1"/>
    <col min="13573" max="13573" width="8.140625" style="135" customWidth="1"/>
    <col min="13574" max="13574" width="7.28515625" style="135" customWidth="1"/>
    <col min="13575" max="13575" width="107.7109375" style="135" customWidth="1"/>
    <col min="13576" max="13576" width="9.140625" style="135" customWidth="1"/>
    <col min="13577" max="13577" width="12.5703125" style="135" customWidth="1"/>
    <col min="13578" max="13578" width="13.140625" style="135" customWidth="1"/>
    <col min="13579" max="13579" width="12.140625" style="135" customWidth="1"/>
    <col min="13580" max="13580" width="11.28515625" style="135" customWidth="1"/>
    <col min="13581" max="13581" width="12.140625" style="135" customWidth="1"/>
    <col min="13582" max="13582" width="9.140625" style="135" customWidth="1"/>
    <col min="13583" max="13583" width="9.28515625" style="135" customWidth="1"/>
    <col min="13584" max="13584" width="2.28515625" style="135" customWidth="1"/>
    <col min="13585" max="13585" width="9.28515625" style="135" bestFit="1" customWidth="1"/>
    <col min="13586" max="13824" width="9.140625" style="135"/>
    <col min="13825" max="13825" width="5.85546875" style="135" customWidth="1"/>
    <col min="13826" max="13826" width="32.85546875" style="135" customWidth="1"/>
    <col min="13827" max="13827" width="32" style="135" customWidth="1"/>
    <col min="13828" max="13828" width="11.28515625" style="135" bestFit="1" customWidth="1"/>
    <col min="13829" max="13829" width="8.140625" style="135" customWidth="1"/>
    <col min="13830" max="13830" width="7.28515625" style="135" customWidth="1"/>
    <col min="13831" max="13831" width="107.7109375" style="135" customWidth="1"/>
    <col min="13832" max="13832" width="9.140625" style="135" customWidth="1"/>
    <col min="13833" max="13833" width="12.5703125" style="135" customWidth="1"/>
    <col min="13834" max="13834" width="13.140625" style="135" customWidth="1"/>
    <col min="13835" max="13835" width="12.140625" style="135" customWidth="1"/>
    <col min="13836" max="13836" width="11.28515625" style="135" customWidth="1"/>
    <col min="13837" max="13837" width="12.140625" style="135" customWidth="1"/>
    <col min="13838" max="13838" width="9.140625" style="135" customWidth="1"/>
    <col min="13839" max="13839" width="9.28515625" style="135" customWidth="1"/>
    <col min="13840" max="13840" width="2.28515625" style="135" customWidth="1"/>
    <col min="13841" max="13841" width="9.28515625" style="135" bestFit="1" customWidth="1"/>
    <col min="13842" max="14080" width="9.140625" style="135"/>
    <col min="14081" max="14081" width="5.85546875" style="135" customWidth="1"/>
    <col min="14082" max="14082" width="32.85546875" style="135" customWidth="1"/>
    <col min="14083" max="14083" width="32" style="135" customWidth="1"/>
    <col min="14084" max="14084" width="11.28515625" style="135" bestFit="1" customWidth="1"/>
    <col min="14085" max="14085" width="8.140625" style="135" customWidth="1"/>
    <col min="14086" max="14086" width="7.28515625" style="135" customWidth="1"/>
    <col min="14087" max="14087" width="107.7109375" style="135" customWidth="1"/>
    <col min="14088" max="14088" width="9.140625" style="135" customWidth="1"/>
    <col min="14089" max="14089" width="12.5703125" style="135" customWidth="1"/>
    <col min="14090" max="14090" width="13.140625" style="135" customWidth="1"/>
    <col min="14091" max="14091" width="12.140625" style="135" customWidth="1"/>
    <col min="14092" max="14092" width="11.28515625" style="135" customWidth="1"/>
    <col min="14093" max="14093" width="12.140625" style="135" customWidth="1"/>
    <col min="14094" max="14094" width="9.140625" style="135" customWidth="1"/>
    <col min="14095" max="14095" width="9.28515625" style="135" customWidth="1"/>
    <col min="14096" max="14096" width="2.28515625" style="135" customWidth="1"/>
    <col min="14097" max="14097" width="9.28515625" style="135" bestFit="1" customWidth="1"/>
    <col min="14098" max="14336" width="9.140625" style="135"/>
    <col min="14337" max="14337" width="5.85546875" style="135" customWidth="1"/>
    <col min="14338" max="14338" width="32.85546875" style="135" customWidth="1"/>
    <col min="14339" max="14339" width="32" style="135" customWidth="1"/>
    <col min="14340" max="14340" width="11.28515625" style="135" bestFit="1" customWidth="1"/>
    <col min="14341" max="14341" width="8.140625" style="135" customWidth="1"/>
    <col min="14342" max="14342" width="7.28515625" style="135" customWidth="1"/>
    <col min="14343" max="14343" width="107.7109375" style="135" customWidth="1"/>
    <col min="14344" max="14344" width="9.140625" style="135" customWidth="1"/>
    <col min="14345" max="14345" width="12.5703125" style="135" customWidth="1"/>
    <col min="14346" max="14346" width="13.140625" style="135" customWidth="1"/>
    <col min="14347" max="14347" width="12.140625" style="135" customWidth="1"/>
    <col min="14348" max="14348" width="11.28515625" style="135" customWidth="1"/>
    <col min="14349" max="14349" width="12.140625" style="135" customWidth="1"/>
    <col min="14350" max="14350" width="9.140625" style="135" customWidth="1"/>
    <col min="14351" max="14351" width="9.28515625" style="135" customWidth="1"/>
    <col min="14352" max="14352" width="2.28515625" style="135" customWidth="1"/>
    <col min="14353" max="14353" width="9.28515625" style="135" bestFit="1" customWidth="1"/>
    <col min="14354" max="14592" width="9.140625" style="135"/>
    <col min="14593" max="14593" width="5.85546875" style="135" customWidth="1"/>
    <col min="14594" max="14594" width="32.85546875" style="135" customWidth="1"/>
    <col min="14595" max="14595" width="32" style="135" customWidth="1"/>
    <col min="14596" max="14596" width="11.28515625" style="135" bestFit="1" customWidth="1"/>
    <col min="14597" max="14597" width="8.140625" style="135" customWidth="1"/>
    <col min="14598" max="14598" width="7.28515625" style="135" customWidth="1"/>
    <col min="14599" max="14599" width="107.7109375" style="135" customWidth="1"/>
    <col min="14600" max="14600" width="9.140625" style="135" customWidth="1"/>
    <col min="14601" max="14601" width="12.5703125" style="135" customWidth="1"/>
    <col min="14602" max="14602" width="13.140625" style="135" customWidth="1"/>
    <col min="14603" max="14603" width="12.140625" style="135" customWidth="1"/>
    <col min="14604" max="14604" width="11.28515625" style="135" customWidth="1"/>
    <col min="14605" max="14605" width="12.140625" style="135" customWidth="1"/>
    <col min="14606" max="14606" width="9.140625" style="135" customWidth="1"/>
    <col min="14607" max="14607" width="9.28515625" style="135" customWidth="1"/>
    <col min="14608" max="14608" width="2.28515625" style="135" customWidth="1"/>
    <col min="14609" max="14609" width="9.28515625" style="135" bestFit="1" customWidth="1"/>
    <col min="14610" max="14848" width="9.140625" style="135"/>
    <col min="14849" max="14849" width="5.85546875" style="135" customWidth="1"/>
    <col min="14850" max="14850" width="32.85546875" style="135" customWidth="1"/>
    <col min="14851" max="14851" width="32" style="135" customWidth="1"/>
    <col min="14852" max="14852" width="11.28515625" style="135" bestFit="1" customWidth="1"/>
    <col min="14853" max="14853" width="8.140625" style="135" customWidth="1"/>
    <col min="14854" max="14854" width="7.28515625" style="135" customWidth="1"/>
    <col min="14855" max="14855" width="107.7109375" style="135" customWidth="1"/>
    <col min="14856" max="14856" width="9.140625" style="135" customWidth="1"/>
    <col min="14857" max="14857" width="12.5703125" style="135" customWidth="1"/>
    <col min="14858" max="14858" width="13.140625" style="135" customWidth="1"/>
    <col min="14859" max="14859" width="12.140625" style="135" customWidth="1"/>
    <col min="14860" max="14860" width="11.28515625" style="135" customWidth="1"/>
    <col min="14861" max="14861" width="12.140625" style="135" customWidth="1"/>
    <col min="14862" max="14862" width="9.140625" style="135" customWidth="1"/>
    <col min="14863" max="14863" width="9.28515625" style="135" customWidth="1"/>
    <col min="14864" max="14864" width="2.28515625" style="135" customWidth="1"/>
    <col min="14865" max="14865" width="9.28515625" style="135" bestFit="1" customWidth="1"/>
    <col min="14866" max="15104" width="9.140625" style="135"/>
    <col min="15105" max="15105" width="5.85546875" style="135" customWidth="1"/>
    <col min="15106" max="15106" width="32.85546875" style="135" customWidth="1"/>
    <col min="15107" max="15107" width="32" style="135" customWidth="1"/>
    <col min="15108" max="15108" width="11.28515625" style="135" bestFit="1" customWidth="1"/>
    <col min="15109" max="15109" width="8.140625" style="135" customWidth="1"/>
    <col min="15110" max="15110" width="7.28515625" style="135" customWidth="1"/>
    <col min="15111" max="15111" width="107.7109375" style="135" customWidth="1"/>
    <col min="15112" max="15112" width="9.140625" style="135" customWidth="1"/>
    <col min="15113" max="15113" width="12.5703125" style="135" customWidth="1"/>
    <col min="15114" max="15114" width="13.140625" style="135" customWidth="1"/>
    <col min="15115" max="15115" width="12.140625" style="135" customWidth="1"/>
    <col min="15116" max="15116" width="11.28515625" style="135" customWidth="1"/>
    <col min="15117" max="15117" width="12.140625" style="135" customWidth="1"/>
    <col min="15118" max="15118" width="9.140625" style="135" customWidth="1"/>
    <col min="15119" max="15119" width="9.28515625" style="135" customWidth="1"/>
    <col min="15120" max="15120" width="2.28515625" style="135" customWidth="1"/>
    <col min="15121" max="15121" width="9.28515625" style="135" bestFit="1" customWidth="1"/>
    <col min="15122" max="15360" width="9.140625" style="135"/>
    <col min="15361" max="15361" width="5.85546875" style="135" customWidth="1"/>
    <col min="15362" max="15362" width="32.85546875" style="135" customWidth="1"/>
    <col min="15363" max="15363" width="32" style="135" customWidth="1"/>
    <col min="15364" max="15364" width="11.28515625" style="135" bestFit="1" customWidth="1"/>
    <col min="15365" max="15365" width="8.140625" style="135" customWidth="1"/>
    <col min="15366" max="15366" width="7.28515625" style="135" customWidth="1"/>
    <col min="15367" max="15367" width="107.7109375" style="135" customWidth="1"/>
    <col min="15368" max="15368" width="9.140625" style="135" customWidth="1"/>
    <col min="15369" max="15369" width="12.5703125" style="135" customWidth="1"/>
    <col min="15370" max="15370" width="13.140625" style="135" customWidth="1"/>
    <col min="15371" max="15371" width="12.140625" style="135" customWidth="1"/>
    <col min="15372" max="15372" width="11.28515625" style="135" customWidth="1"/>
    <col min="15373" max="15373" width="12.140625" style="135" customWidth="1"/>
    <col min="15374" max="15374" width="9.140625" style="135" customWidth="1"/>
    <col min="15375" max="15375" width="9.28515625" style="135" customWidth="1"/>
    <col min="15376" max="15376" width="2.28515625" style="135" customWidth="1"/>
    <col min="15377" max="15377" width="9.28515625" style="135" bestFit="1" customWidth="1"/>
    <col min="15378" max="15616" width="9.140625" style="135"/>
    <col min="15617" max="15617" width="5.85546875" style="135" customWidth="1"/>
    <col min="15618" max="15618" width="32.85546875" style="135" customWidth="1"/>
    <col min="15619" max="15619" width="32" style="135" customWidth="1"/>
    <col min="15620" max="15620" width="11.28515625" style="135" bestFit="1" customWidth="1"/>
    <col min="15621" max="15621" width="8.140625" style="135" customWidth="1"/>
    <col min="15622" max="15622" width="7.28515625" style="135" customWidth="1"/>
    <col min="15623" max="15623" width="107.7109375" style="135" customWidth="1"/>
    <col min="15624" max="15624" width="9.140625" style="135" customWidth="1"/>
    <col min="15625" max="15625" width="12.5703125" style="135" customWidth="1"/>
    <col min="15626" max="15626" width="13.140625" style="135" customWidth="1"/>
    <col min="15627" max="15627" width="12.140625" style="135" customWidth="1"/>
    <col min="15628" max="15628" width="11.28515625" style="135" customWidth="1"/>
    <col min="15629" max="15629" width="12.140625" style="135" customWidth="1"/>
    <col min="15630" max="15630" width="9.140625" style="135" customWidth="1"/>
    <col min="15631" max="15631" width="9.28515625" style="135" customWidth="1"/>
    <col min="15632" max="15632" width="2.28515625" style="135" customWidth="1"/>
    <col min="15633" max="15633" width="9.28515625" style="135" bestFit="1" customWidth="1"/>
    <col min="15634" max="15872" width="9.140625" style="135"/>
    <col min="15873" max="15873" width="5.85546875" style="135" customWidth="1"/>
    <col min="15874" max="15874" width="32.85546875" style="135" customWidth="1"/>
    <col min="15875" max="15875" width="32" style="135" customWidth="1"/>
    <col min="15876" max="15876" width="11.28515625" style="135" bestFit="1" customWidth="1"/>
    <col min="15877" max="15877" width="8.140625" style="135" customWidth="1"/>
    <col min="15878" max="15878" width="7.28515625" style="135" customWidth="1"/>
    <col min="15879" max="15879" width="107.7109375" style="135" customWidth="1"/>
    <col min="15880" max="15880" width="9.140625" style="135" customWidth="1"/>
    <col min="15881" max="15881" width="12.5703125" style="135" customWidth="1"/>
    <col min="15882" max="15882" width="13.140625" style="135" customWidth="1"/>
    <col min="15883" max="15883" width="12.140625" style="135" customWidth="1"/>
    <col min="15884" max="15884" width="11.28515625" style="135" customWidth="1"/>
    <col min="15885" max="15885" width="12.140625" style="135" customWidth="1"/>
    <col min="15886" max="15886" width="9.140625" style="135" customWidth="1"/>
    <col min="15887" max="15887" width="9.28515625" style="135" customWidth="1"/>
    <col min="15888" max="15888" width="2.28515625" style="135" customWidth="1"/>
    <col min="15889" max="15889" width="9.28515625" style="135" bestFit="1" customWidth="1"/>
    <col min="15890" max="16128" width="9.140625" style="135"/>
    <col min="16129" max="16129" width="5.85546875" style="135" customWidth="1"/>
    <col min="16130" max="16130" width="32.85546875" style="135" customWidth="1"/>
    <col min="16131" max="16131" width="32" style="135" customWidth="1"/>
    <col min="16132" max="16132" width="11.28515625" style="135" bestFit="1" customWidth="1"/>
    <col min="16133" max="16133" width="8.140625" style="135" customWidth="1"/>
    <col min="16134" max="16134" width="7.28515625" style="135" customWidth="1"/>
    <col min="16135" max="16135" width="107.7109375" style="135" customWidth="1"/>
    <col min="16136" max="16136" width="9.140625" style="135" customWidth="1"/>
    <col min="16137" max="16137" width="12.5703125" style="135" customWidth="1"/>
    <col min="16138" max="16138" width="13.140625" style="135" customWidth="1"/>
    <col min="16139" max="16139" width="12.140625" style="135" customWidth="1"/>
    <col min="16140" max="16140" width="11.28515625" style="135" customWidth="1"/>
    <col min="16141" max="16141" width="12.140625" style="135" customWidth="1"/>
    <col min="16142" max="16142" width="9.140625" style="135" customWidth="1"/>
    <col min="16143" max="16143" width="9.28515625" style="135" customWidth="1"/>
    <col min="16144" max="16144" width="2.28515625" style="135" customWidth="1"/>
    <col min="16145" max="16145" width="9.28515625" style="135" bestFit="1" customWidth="1"/>
    <col min="16146" max="16384" width="9.140625" style="135"/>
  </cols>
  <sheetData>
    <row r="1" spans="1:22" ht="15.75">
      <c r="A1" s="133"/>
      <c r="B1" s="133"/>
      <c r="C1" s="133"/>
      <c r="D1" s="133"/>
      <c r="E1" s="133"/>
      <c r="F1" s="133"/>
      <c r="G1" s="134"/>
      <c r="H1" s="502"/>
      <c r="I1" s="502"/>
      <c r="J1" s="679" t="s">
        <v>554</v>
      </c>
      <c r="K1" s="679"/>
      <c r="L1" s="679"/>
      <c r="M1" s="679"/>
      <c r="N1" s="679"/>
      <c r="O1" s="679"/>
      <c r="P1" s="679"/>
      <c r="Q1" s="679"/>
    </row>
    <row r="2" spans="1:22" ht="64.5" customHeight="1">
      <c r="A2" s="133"/>
      <c r="B2" s="133"/>
      <c r="C2" s="133"/>
      <c r="D2" s="133"/>
      <c r="E2" s="133"/>
      <c r="F2" s="133"/>
      <c r="G2" s="134"/>
      <c r="I2" s="683" t="s">
        <v>585</v>
      </c>
      <c r="J2" s="683"/>
      <c r="K2" s="683"/>
      <c r="L2" s="683"/>
      <c r="M2" s="683"/>
      <c r="N2" s="683"/>
      <c r="O2" s="683"/>
      <c r="P2" s="683"/>
      <c r="Q2" s="683"/>
    </row>
    <row r="3" spans="1:22" ht="5.25" customHeight="1">
      <c r="A3" s="681"/>
      <c r="B3" s="681"/>
      <c r="C3" s="681"/>
      <c r="D3" s="681"/>
      <c r="E3" s="681"/>
      <c r="F3" s="681"/>
      <c r="G3" s="681"/>
      <c r="H3" s="682"/>
      <c r="I3" s="682"/>
      <c r="J3" s="682"/>
      <c r="Q3" s="445"/>
    </row>
    <row r="4" spans="1:22" ht="6.75" customHeight="1">
      <c r="A4" s="136"/>
      <c r="B4" s="136"/>
      <c r="C4" s="136"/>
      <c r="D4" s="136"/>
      <c r="E4" s="136"/>
      <c r="F4" s="136"/>
      <c r="G4" s="134"/>
      <c r="H4" s="682"/>
      <c r="I4" s="682"/>
      <c r="J4" s="682"/>
      <c r="Q4" s="445"/>
    </row>
    <row r="5" spans="1:22" ht="76.5" hidden="1" customHeight="1">
      <c r="A5" s="680"/>
      <c r="B5" s="680"/>
      <c r="C5" s="680"/>
      <c r="D5" s="680"/>
      <c r="E5" s="680"/>
      <c r="F5" s="680"/>
      <c r="G5" s="680"/>
      <c r="H5" s="680"/>
      <c r="I5" s="680"/>
      <c r="J5" s="680"/>
      <c r="Q5" s="445"/>
    </row>
    <row r="6" spans="1:22" ht="23.25" customHeight="1">
      <c r="A6" s="659" t="s">
        <v>293</v>
      </c>
      <c r="B6" s="660"/>
      <c r="C6" s="660"/>
      <c r="D6" s="660"/>
      <c r="E6" s="660"/>
      <c r="F6" s="660"/>
      <c r="G6" s="660"/>
      <c r="H6" s="660"/>
      <c r="I6" s="660"/>
      <c r="J6" s="660"/>
      <c r="K6" s="660"/>
      <c r="L6" s="660"/>
      <c r="M6" s="660"/>
      <c r="N6" s="660"/>
      <c r="O6" s="660"/>
      <c r="P6" s="660"/>
      <c r="Q6" s="660"/>
    </row>
    <row r="7" spans="1:22" ht="47.25">
      <c r="A7" s="137" t="s">
        <v>294</v>
      </c>
      <c r="B7" s="138" t="s">
        <v>295</v>
      </c>
      <c r="C7" s="138" t="s">
        <v>296</v>
      </c>
      <c r="D7" s="138" t="s">
        <v>297</v>
      </c>
      <c r="E7" s="138" t="s">
        <v>298</v>
      </c>
      <c r="F7" s="670" t="s">
        <v>299</v>
      </c>
      <c r="G7" s="670"/>
      <c r="H7" s="138" t="s">
        <v>300</v>
      </c>
      <c r="I7" s="138" t="s">
        <v>301</v>
      </c>
      <c r="J7" s="139" t="s">
        <v>302</v>
      </c>
      <c r="K7" s="671" t="s">
        <v>303</v>
      </c>
      <c r="L7" s="671"/>
      <c r="M7" s="671" t="s">
        <v>304</v>
      </c>
      <c r="N7" s="672"/>
      <c r="O7" s="673" t="s">
        <v>230</v>
      </c>
      <c r="P7" s="674"/>
      <c r="Q7" s="139" t="s">
        <v>564</v>
      </c>
      <c r="R7" s="428" t="s">
        <v>548</v>
      </c>
      <c r="S7" s="271" t="s">
        <v>530</v>
      </c>
    </row>
    <row r="8" spans="1:22" ht="15.75" customHeight="1">
      <c r="A8" s="675" t="s">
        <v>305</v>
      </c>
      <c r="B8" s="663" t="s">
        <v>306</v>
      </c>
      <c r="C8" s="663" t="s">
        <v>307</v>
      </c>
      <c r="D8" s="663" t="s">
        <v>308</v>
      </c>
      <c r="E8" s="663" t="s">
        <v>309</v>
      </c>
      <c r="F8" s="140">
        <v>1</v>
      </c>
      <c r="G8" s="141" t="s">
        <v>310</v>
      </c>
      <c r="H8" s="142"/>
      <c r="I8" s="143" t="s">
        <v>11</v>
      </c>
      <c r="J8" s="446">
        <f>SUM(J9:J14)</f>
        <v>712</v>
      </c>
      <c r="K8" s="144"/>
      <c r="L8" s="145"/>
      <c r="M8" s="447"/>
      <c r="N8" s="448"/>
      <c r="O8" s="447"/>
      <c r="P8" s="449"/>
      <c r="Q8" s="446">
        <f>SUM(Q9:Q14)</f>
        <v>641.11041999999998</v>
      </c>
      <c r="R8" s="429">
        <f>Q8/J8</f>
        <v>0.90043598314606743</v>
      </c>
      <c r="S8" s="271">
        <f>Q9+Q10+Q11+Q12+Q13+Q14</f>
        <v>641.11041999999998</v>
      </c>
      <c r="V8" s="271">
        <f>T8-U8</f>
        <v>0</v>
      </c>
    </row>
    <row r="9" spans="1:22" ht="15.75" customHeight="1">
      <c r="A9" s="676"/>
      <c r="B9" s="678"/>
      <c r="C9" s="678"/>
      <c r="D9" s="678"/>
      <c r="E9" s="678"/>
      <c r="F9" s="146" t="s">
        <v>311</v>
      </c>
      <c r="G9" s="147" t="s">
        <v>312</v>
      </c>
      <c r="H9" s="148" t="s">
        <v>15</v>
      </c>
      <c r="I9" s="149" t="s">
        <v>17</v>
      </c>
      <c r="J9" s="450">
        <f>300+O9</f>
        <v>336</v>
      </c>
      <c r="K9" s="144"/>
      <c r="L9" s="145"/>
      <c r="M9" s="451" t="s">
        <v>291</v>
      </c>
      <c r="N9" s="144"/>
      <c r="O9" s="452" t="s">
        <v>313</v>
      </c>
      <c r="P9" s="453"/>
      <c r="Q9" s="450">
        <v>325.11041999999998</v>
      </c>
      <c r="R9" s="430">
        <f t="shared" ref="R9:R59" si="0">Q9/J9</f>
        <v>0.96759053571428566</v>
      </c>
    </row>
    <row r="10" spans="1:22" ht="15.75" customHeight="1">
      <c r="A10" s="676"/>
      <c r="B10" s="678"/>
      <c r="C10" s="678"/>
      <c r="D10" s="678"/>
      <c r="E10" s="678"/>
      <c r="F10" s="146" t="s">
        <v>314</v>
      </c>
      <c r="G10" s="147" t="s">
        <v>315</v>
      </c>
      <c r="H10" s="148" t="s">
        <v>21</v>
      </c>
      <c r="I10" s="149" t="s">
        <v>23</v>
      </c>
      <c r="J10" s="450">
        <v>30</v>
      </c>
      <c r="K10" s="144"/>
      <c r="L10" s="145"/>
      <c r="M10" s="451"/>
      <c r="N10" s="144">
        <v>30</v>
      </c>
      <c r="O10" s="451"/>
      <c r="P10" s="453"/>
      <c r="Q10" s="450">
        <v>20</v>
      </c>
      <c r="R10" s="430">
        <f t="shared" si="0"/>
        <v>0.66666666666666663</v>
      </c>
    </row>
    <row r="11" spans="1:22" ht="15.75" customHeight="1">
      <c r="A11" s="676"/>
      <c r="B11" s="678"/>
      <c r="C11" s="678"/>
      <c r="D11" s="678"/>
      <c r="E11" s="678"/>
      <c r="F11" s="146" t="s">
        <v>316</v>
      </c>
      <c r="G11" s="147" t="s">
        <v>25</v>
      </c>
      <c r="H11" s="148" t="s">
        <v>21</v>
      </c>
      <c r="I11" s="149" t="s">
        <v>26</v>
      </c>
      <c r="J11" s="450">
        <v>346</v>
      </c>
      <c r="K11" s="144"/>
      <c r="L11" s="145"/>
      <c r="M11" s="451"/>
      <c r="N11" s="144">
        <v>50</v>
      </c>
      <c r="O11" s="451"/>
      <c r="P11" s="453"/>
      <c r="Q11" s="450">
        <v>296</v>
      </c>
      <c r="R11" s="430">
        <f t="shared" si="0"/>
        <v>0.8554913294797688</v>
      </c>
    </row>
    <row r="12" spans="1:22" ht="15.75" hidden="1" customHeight="1" outlineLevel="1">
      <c r="A12" s="676"/>
      <c r="B12" s="678"/>
      <c r="C12" s="678"/>
      <c r="D12" s="678"/>
      <c r="E12" s="678"/>
      <c r="F12" s="146" t="s">
        <v>317</v>
      </c>
      <c r="G12" s="147" t="s">
        <v>318</v>
      </c>
      <c r="H12" s="148" t="s">
        <v>28</v>
      </c>
      <c r="I12" s="149" t="s">
        <v>319</v>
      </c>
      <c r="J12" s="450">
        <v>0</v>
      </c>
      <c r="K12" s="144"/>
      <c r="L12" s="145"/>
      <c r="M12" s="451"/>
      <c r="N12" s="144"/>
      <c r="O12" s="451"/>
      <c r="P12" s="453"/>
      <c r="Q12" s="450">
        <v>0</v>
      </c>
      <c r="R12" s="430"/>
    </row>
    <row r="13" spans="1:22" ht="15.75" hidden="1" customHeight="1" outlineLevel="1">
      <c r="A13" s="676"/>
      <c r="B13" s="678"/>
      <c r="C13" s="678"/>
      <c r="D13" s="678"/>
      <c r="E13" s="678"/>
      <c r="F13" s="146" t="s">
        <v>320</v>
      </c>
      <c r="G13" s="147" t="s">
        <v>321</v>
      </c>
      <c r="H13" s="148" t="s">
        <v>28</v>
      </c>
      <c r="I13" s="149" t="s">
        <v>30</v>
      </c>
      <c r="J13" s="450">
        <v>0</v>
      </c>
      <c r="K13" s="144">
        <v>10</v>
      </c>
      <c r="L13" s="145">
        <v>-10</v>
      </c>
      <c r="M13" s="451"/>
      <c r="N13" s="144"/>
      <c r="O13" s="451"/>
      <c r="P13" s="453"/>
      <c r="Q13" s="450">
        <v>0</v>
      </c>
      <c r="R13" s="430"/>
    </row>
    <row r="14" spans="1:22" ht="15.75" hidden="1" customHeight="1" outlineLevel="1">
      <c r="A14" s="676"/>
      <c r="B14" s="678"/>
      <c r="C14" s="678"/>
      <c r="D14" s="678"/>
      <c r="E14" s="678"/>
      <c r="F14" s="146" t="s">
        <v>322</v>
      </c>
      <c r="G14" s="147" t="s">
        <v>323</v>
      </c>
      <c r="H14" s="148" t="s">
        <v>32</v>
      </c>
      <c r="I14" s="149" t="s">
        <v>34</v>
      </c>
      <c r="J14" s="450">
        <v>0</v>
      </c>
      <c r="K14" s="144">
        <v>10</v>
      </c>
      <c r="L14" s="145">
        <v>-10</v>
      </c>
      <c r="M14" s="451"/>
      <c r="N14" s="144"/>
      <c r="O14" s="451"/>
      <c r="P14" s="453"/>
      <c r="Q14" s="450">
        <v>0</v>
      </c>
      <c r="R14" s="430"/>
    </row>
    <row r="15" spans="1:22" ht="27.75" customHeight="1" collapsed="1">
      <c r="A15" s="676"/>
      <c r="B15" s="678"/>
      <c r="C15" s="678"/>
      <c r="D15" s="678"/>
      <c r="E15" s="678"/>
      <c r="F15" s="140">
        <v>2</v>
      </c>
      <c r="G15" s="141" t="s">
        <v>324</v>
      </c>
      <c r="H15" s="142"/>
      <c r="I15" s="143" t="s">
        <v>36</v>
      </c>
      <c r="J15" s="446">
        <f>J16+J17+J18+J19</f>
        <v>160</v>
      </c>
      <c r="K15" s="144"/>
      <c r="L15" s="145"/>
      <c r="M15" s="451"/>
      <c r="N15" s="144"/>
      <c r="O15" s="451"/>
      <c r="P15" s="453"/>
      <c r="Q15" s="446">
        <f>SUM(Q16:Q19)</f>
        <v>56.562529999999995</v>
      </c>
      <c r="R15" s="429">
        <f t="shared" si="0"/>
        <v>0.35351581249999997</v>
      </c>
      <c r="S15" s="271">
        <f>Q16+Q17+Q18+Q19</f>
        <v>56.562529999999995</v>
      </c>
    </row>
    <row r="16" spans="1:22" ht="15.75" customHeight="1">
      <c r="A16" s="676"/>
      <c r="B16" s="678"/>
      <c r="C16" s="678"/>
      <c r="D16" s="678"/>
      <c r="E16" s="678"/>
      <c r="F16" s="146" t="s">
        <v>325</v>
      </c>
      <c r="G16" s="147" t="s">
        <v>326</v>
      </c>
      <c r="H16" s="148" t="s">
        <v>39</v>
      </c>
      <c r="I16" s="149" t="s">
        <v>41</v>
      </c>
      <c r="J16" s="450" t="s">
        <v>327</v>
      </c>
      <c r="K16" s="144"/>
      <c r="L16" s="145"/>
      <c r="M16" s="451"/>
      <c r="N16" s="144"/>
      <c r="O16" s="451"/>
      <c r="P16" s="453"/>
      <c r="Q16" s="450">
        <v>0</v>
      </c>
      <c r="R16" s="430">
        <f t="shared" si="0"/>
        <v>0</v>
      </c>
    </row>
    <row r="17" spans="1:19" ht="31.5">
      <c r="A17" s="676"/>
      <c r="B17" s="678"/>
      <c r="C17" s="678"/>
      <c r="D17" s="678"/>
      <c r="E17" s="678"/>
      <c r="F17" s="146" t="s">
        <v>328</v>
      </c>
      <c r="G17" s="147" t="s">
        <v>42</v>
      </c>
      <c r="H17" s="148" t="s">
        <v>39</v>
      </c>
      <c r="I17" s="149" t="s">
        <v>43</v>
      </c>
      <c r="J17" s="450" t="s">
        <v>327</v>
      </c>
      <c r="K17" s="144"/>
      <c r="L17" s="145"/>
      <c r="M17" s="451"/>
      <c r="N17" s="144"/>
      <c r="O17" s="451"/>
      <c r="P17" s="453"/>
      <c r="Q17" s="450">
        <v>21.4</v>
      </c>
      <c r="R17" s="430">
        <f t="shared" si="0"/>
        <v>0.42799999999999999</v>
      </c>
    </row>
    <row r="18" spans="1:19" ht="15.75" customHeight="1">
      <c r="A18" s="676"/>
      <c r="B18" s="678"/>
      <c r="C18" s="678"/>
      <c r="D18" s="678"/>
      <c r="E18" s="678"/>
      <c r="F18" s="146" t="s">
        <v>329</v>
      </c>
      <c r="G18" s="147" t="s">
        <v>46</v>
      </c>
      <c r="H18" s="148" t="s">
        <v>45</v>
      </c>
      <c r="I18" s="149" t="s">
        <v>47</v>
      </c>
      <c r="J18" s="450" t="s">
        <v>327</v>
      </c>
      <c r="K18" s="144"/>
      <c r="L18" s="145"/>
      <c r="M18" s="451"/>
      <c r="N18" s="144"/>
      <c r="O18" s="451"/>
      <c r="P18" s="453"/>
      <c r="Q18" s="450">
        <v>25.16253</v>
      </c>
      <c r="R18" s="430">
        <f t="shared" si="0"/>
        <v>0.50325059999999999</v>
      </c>
    </row>
    <row r="19" spans="1:19" ht="15.75" customHeight="1">
      <c r="A19" s="676"/>
      <c r="B19" s="678"/>
      <c r="C19" s="678"/>
      <c r="D19" s="678"/>
      <c r="E19" s="678"/>
      <c r="F19" s="146" t="s">
        <v>330</v>
      </c>
      <c r="G19" s="147" t="s">
        <v>331</v>
      </c>
      <c r="H19" s="148" t="s">
        <v>49</v>
      </c>
      <c r="I19" s="149" t="s">
        <v>51</v>
      </c>
      <c r="J19" s="450" t="s">
        <v>332</v>
      </c>
      <c r="K19" s="144"/>
      <c r="L19" s="145"/>
      <c r="M19" s="451"/>
      <c r="N19" s="144"/>
      <c r="O19" s="451"/>
      <c r="P19" s="453"/>
      <c r="Q19" s="450">
        <v>10</v>
      </c>
      <c r="R19" s="430">
        <f t="shared" si="0"/>
        <v>1</v>
      </c>
    </row>
    <row r="20" spans="1:19" ht="34.5" customHeight="1">
      <c r="A20" s="676"/>
      <c r="B20" s="678"/>
      <c r="C20" s="678"/>
      <c r="D20" s="678"/>
      <c r="E20" s="678"/>
      <c r="F20" s="140">
        <v>3</v>
      </c>
      <c r="G20" s="141" t="s">
        <v>333</v>
      </c>
      <c r="H20" s="142"/>
      <c r="I20" s="143" t="s">
        <v>53</v>
      </c>
      <c r="J20" s="446">
        <f>J21+J22+J23+J24+J25+J26+J27+J28+J29+J30+J31+J33+J32+J34</f>
        <v>15017.78947</v>
      </c>
      <c r="K20" s="446">
        <f t="shared" ref="K20:Q20" si="1">K21+K22+K23+K24+K25+K26+K27+K28+K29+K30+K31+K33+K32+K34</f>
        <v>300</v>
      </c>
      <c r="L20" s="446">
        <f t="shared" si="1"/>
        <v>-230</v>
      </c>
      <c r="M20" s="446">
        <f t="shared" si="1"/>
        <v>1131.8399999999999</v>
      </c>
      <c r="N20" s="446">
        <f t="shared" si="1"/>
        <v>100</v>
      </c>
      <c r="O20" s="446">
        <f t="shared" si="1"/>
        <v>2858.9493000000002</v>
      </c>
      <c r="P20" s="446">
        <f t="shared" si="1"/>
        <v>100</v>
      </c>
      <c r="Q20" s="446">
        <f t="shared" si="1"/>
        <v>13546.607400000001</v>
      </c>
      <c r="R20" s="429">
        <f t="shared" si="0"/>
        <v>0.9020373755445914</v>
      </c>
      <c r="S20" s="271">
        <f>Q21+Q22+Q23+Q24+Q25+Q26+Q27+Q28+Q29+Q30+Q31+Q33</f>
        <v>11795.29867</v>
      </c>
    </row>
    <row r="21" spans="1:19" ht="18" customHeight="1">
      <c r="A21" s="676"/>
      <c r="B21" s="678"/>
      <c r="C21" s="678"/>
      <c r="D21" s="678"/>
      <c r="E21" s="678"/>
      <c r="F21" s="146" t="s">
        <v>334</v>
      </c>
      <c r="G21" s="147" t="s">
        <v>57</v>
      </c>
      <c r="H21" s="148" t="s">
        <v>56</v>
      </c>
      <c r="I21" s="149" t="s">
        <v>58</v>
      </c>
      <c r="J21" s="454">
        <v>0</v>
      </c>
      <c r="K21" s="144"/>
      <c r="L21" s="145"/>
      <c r="M21" s="451"/>
      <c r="N21" s="144"/>
      <c r="O21" s="451">
        <v>270</v>
      </c>
      <c r="P21" s="453"/>
      <c r="Q21" s="454">
        <v>0</v>
      </c>
      <c r="R21" s="430"/>
    </row>
    <row r="22" spans="1:19" ht="15.75" customHeight="1">
      <c r="A22" s="676"/>
      <c r="B22" s="678"/>
      <c r="C22" s="678"/>
      <c r="D22" s="678"/>
      <c r="E22" s="678"/>
      <c r="F22" s="146" t="s">
        <v>335</v>
      </c>
      <c r="G22" s="147" t="s">
        <v>336</v>
      </c>
      <c r="H22" s="148" t="s">
        <v>56</v>
      </c>
      <c r="I22" s="149" t="s">
        <v>62</v>
      </c>
      <c r="J22" s="454">
        <f>185+O22</f>
        <v>235</v>
      </c>
      <c r="K22" s="144"/>
      <c r="L22" s="145"/>
      <c r="M22" s="451"/>
      <c r="N22" s="144"/>
      <c r="O22" s="451">
        <v>50</v>
      </c>
      <c r="P22" s="453"/>
      <c r="Q22" s="454">
        <v>204.63853</v>
      </c>
      <c r="R22" s="430">
        <f t="shared" si="0"/>
        <v>0.8708022553191489</v>
      </c>
    </row>
    <row r="23" spans="1:19" ht="15.75" customHeight="1">
      <c r="A23" s="676"/>
      <c r="B23" s="678"/>
      <c r="C23" s="678"/>
      <c r="D23" s="678"/>
      <c r="E23" s="678"/>
      <c r="F23" s="146" t="s">
        <v>337</v>
      </c>
      <c r="G23" s="147" t="s">
        <v>338</v>
      </c>
      <c r="H23" s="148" t="s">
        <v>64</v>
      </c>
      <c r="I23" s="149" t="s">
        <v>66</v>
      </c>
      <c r="J23" s="454">
        <f>385</f>
        <v>385</v>
      </c>
      <c r="K23" s="144"/>
      <c r="L23" s="145"/>
      <c r="M23" s="451"/>
      <c r="N23" s="144"/>
      <c r="O23" s="451"/>
      <c r="P23" s="453"/>
      <c r="Q23" s="454">
        <v>261.32988</v>
      </c>
      <c r="R23" s="430">
        <f t="shared" si="0"/>
        <v>0.6787789090909091</v>
      </c>
    </row>
    <row r="24" spans="1:19" ht="15.75" customHeight="1">
      <c r="A24" s="676"/>
      <c r="B24" s="678"/>
      <c r="C24" s="678"/>
      <c r="D24" s="678"/>
      <c r="E24" s="678"/>
      <c r="F24" s="146" t="s">
        <v>339</v>
      </c>
      <c r="G24" s="147" t="s">
        <v>340</v>
      </c>
      <c r="H24" s="148" t="s">
        <v>68</v>
      </c>
      <c r="I24" s="149" t="s">
        <v>70</v>
      </c>
      <c r="J24" s="454">
        <v>1055</v>
      </c>
      <c r="K24" s="144"/>
      <c r="L24" s="145"/>
      <c r="M24" s="455">
        <v>-300</v>
      </c>
      <c r="N24" s="144"/>
      <c r="O24" s="451">
        <v>130</v>
      </c>
      <c r="P24" s="453"/>
      <c r="Q24" s="454">
        <v>1055</v>
      </c>
      <c r="R24" s="430">
        <f t="shared" si="0"/>
        <v>1</v>
      </c>
    </row>
    <row r="25" spans="1:19" ht="31.5">
      <c r="A25" s="676"/>
      <c r="B25" s="678"/>
      <c r="C25" s="678"/>
      <c r="D25" s="678"/>
      <c r="E25" s="678"/>
      <c r="F25" s="146" t="s">
        <v>341</v>
      </c>
      <c r="G25" s="147" t="s">
        <v>342</v>
      </c>
      <c r="H25" s="148" t="s">
        <v>80</v>
      </c>
      <c r="I25" s="149" t="s">
        <v>82</v>
      </c>
      <c r="J25" s="454">
        <v>1548</v>
      </c>
      <c r="K25" s="144"/>
      <c r="L25" s="145"/>
      <c r="M25" s="451"/>
      <c r="N25" s="144"/>
      <c r="O25" s="451"/>
      <c r="P25" s="453"/>
      <c r="Q25" s="454">
        <v>1324.9690000000001</v>
      </c>
      <c r="R25" s="430">
        <f t="shared" si="0"/>
        <v>0.85592312661498715</v>
      </c>
    </row>
    <row r="26" spans="1:19" ht="15.75" customHeight="1">
      <c r="A26" s="676"/>
      <c r="B26" s="678"/>
      <c r="C26" s="678"/>
      <c r="D26" s="678"/>
      <c r="E26" s="678"/>
      <c r="F26" s="146" t="s">
        <v>343</v>
      </c>
      <c r="G26" s="147" t="s">
        <v>71</v>
      </c>
      <c r="H26" s="148" t="s">
        <v>68</v>
      </c>
      <c r="I26" s="149" t="s">
        <v>72</v>
      </c>
      <c r="J26" s="454">
        <f>93.19943+6.80057</f>
        <v>100</v>
      </c>
      <c r="K26" s="454">
        <f t="shared" ref="K26:Q26" si="2">93.19943+6.80057</f>
        <v>100</v>
      </c>
      <c r="L26" s="454">
        <f t="shared" si="2"/>
        <v>100</v>
      </c>
      <c r="M26" s="454">
        <f t="shared" si="2"/>
        <v>100</v>
      </c>
      <c r="N26" s="454">
        <f t="shared" si="2"/>
        <v>100</v>
      </c>
      <c r="O26" s="454">
        <f t="shared" si="2"/>
        <v>100</v>
      </c>
      <c r="P26" s="454">
        <f t="shared" si="2"/>
        <v>100</v>
      </c>
      <c r="Q26" s="454">
        <f t="shared" si="2"/>
        <v>100</v>
      </c>
      <c r="R26" s="430">
        <f t="shared" si="0"/>
        <v>1</v>
      </c>
    </row>
    <row r="27" spans="1:19" ht="15.75" customHeight="1">
      <c r="A27" s="676"/>
      <c r="B27" s="678"/>
      <c r="C27" s="678"/>
      <c r="D27" s="678"/>
      <c r="E27" s="678"/>
      <c r="F27" s="146" t="s">
        <v>344</v>
      </c>
      <c r="G27" s="147" t="s">
        <v>345</v>
      </c>
      <c r="H27" s="148" t="s">
        <v>68</v>
      </c>
      <c r="I27" s="149" t="s">
        <v>74</v>
      </c>
      <c r="J27" s="454">
        <v>50</v>
      </c>
      <c r="K27" s="144"/>
      <c r="L27" s="145"/>
      <c r="M27" s="451"/>
      <c r="N27" s="144"/>
      <c r="O27" s="451"/>
      <c r="P27" s="453"/>
      <c r="Q27" s="454">
        <v>50</v>
      </c>
      <c r="R27" s="430">
        <f t="shared" si="0"/>
        <v>1</v>
      </c>
    </row>
    <row r="28" spans="1:19" ht="15.75" customHeight="1">
      <c r="A28" s="676"/>
      <c r="B28" s="678"/>
      <c r="C28" s="678"/>
      <c r="D28" s="678"/>
      <c r="E28" s="678"/>
      <c r="F28" s="146" t="s">
        <v>346</v>
      </c>
      <c r="G28" s="147" t="s">
        <v>347</v>
      </c>
      <c r="H28" s="148" t="s">
        <v>68</v>
      </c>
      <c r="I28" s="149" t="s">
        <v>76</v>
      </c>
      <c r="J28" s="454">
        <v>4512</v>
      </c>
      <c r="K28" s="144">
        <v>200</v>
      </c>
      <c r="L28" s="145">
        <v>-330</v>
      </c>
      <c r="M28" s="451">
        <v>300</v>
      </c>
      <c r="N28" s="144"/>
      <c r="O28" s="452">
        <f>500+100+35+40+5+100+50+100</f>
        <v>930</v>
      </c>
      <c r="P28" s="453"/>
      <c r="Q28" s="454">
        <v>3888.7118500000001</v>
      </c>
      <c r="R28" s="430">
        <f t="shared" si="0"/>
        <v>0.86185989583333333</v>
      </c>
    </row>
    <row r="29" spans="1:19" ht="15.75" customHeight="1">
      <c r="A29" s="676"/>
      <c r="B29" s="678"/>
      <c r="C29" s="678"/>
      <c r="D29" s="678"/>
      <c r="E29" s="678"/>
      <c r="F29" s="146" t="s">
        <v>348</v>
      </c>
      <c r="G29" s="147" t="s">
        <v>77</v>
      </c>
      <c r="H29" s="148" t="s">
        <v>68</v>
      </c>
      <c r="I29" s="149" t="s">
        <v>78</v>
      </c>
      <c r="J29" s="454">
        <f>99.5+301.5+99</f>
        <v>500</v>
      </c>
      <c r="K29" s="144"/>
      <c r="L29" s="145"/>
      <c r="M29" s="455">
        <v>300</v>
      </c>
      <c r="N29" s="144"/>
      <c r="O29" s="451" t="s">
        <v>349</v>
      </c>
      <c r="P29" s="453"/>
      <c r="Q29" s="454">
        <v>499.75529999999998</v>
      </c>
      <c r="R29" s="430">
        <f t="shared" si="0"/>
        <v>0.99951059999999992</v>
      </c>
    </row>
    <row r="30" spans="1:19" ht="15.75">
      <c r="A30" s="676"/>
      <c r="B30" s="678"/>
      <c r="C30" s="678"/>
      <c r="D30" s="678"/>
      <c r="E30" s="678"/>
      <c r="F30" s="146" t="s">
        <v>350</v>
      </c>
      <c r="G30" s="147" t="s">
        <v>83</v>
      </c>
      <c r="H30" s="148" t="s">
        <v>80</v>
      </c>
      <c r="I30" s="149" t="s">
        <v>84</v>
      </c>
      <c r="J30" s="454">
        <f>100</f>
        <v>100</v>
      </c>
      <c r="K30" s="144"/>
      <c r="L30" s="145"/>
      <c r="M30" s="451"/>
      <c r="N30" s="144"/>
      <c r="O30" s="451"/>
      <c r="P30" s="453"/>
      <c r="Q30" s="454">
        <v>100</v>
      </c>
      <c r="R30" s="430">
        <f t="shared" si="0"/>
        <v>1</v>
      </c>
    </row>
    <row r="31" spans="1:19" ht="18" customHeight="1">
      <c r="A31" s="676"/>
      <c r="B31" s="678"/>
      <c r="C31" s="678"/>
      <c r="D31" s="678"/>
      <c r="E31" s="678"/>
      <c r="F31" s="146" t="s">
        <v>351</v>
      </c>
      <c r="G31" s="147" t="s">
        <v>85</v>
      </c>
      <c r="H31" s="148" t="s">
        <v>80</v>
      </c>
      <c r="I31" s="149" t="s">
        <v>86</v>
      </c>
      <c r="J31" s="454">
        <v>3813.2894700000002</v>
      </c>
      <c r="K31" s="144"/>
      <c r="L31" s="145"/>
      <c r="M31" s="455">
        <v>-217.66</v>
      </c>
      <c r="N31" s="144"/>
      <c r="O31" s="451">
        <f>113.237-34.2877</f>
        <v>78.949299999999994</v>
      </c>
      <c r="P31" s="453"/>
      <c r="Q31" s="454">
        <v>3361.3941100000002</v>
      </c>
      <c r="R31" s="430">
        <f t="shared" si="0"/>
        <v>0.88149460890520859</v>
      </c>
    </row>
    <row r="32" spans="1:19" ht="35.25" customHeight="1">
      <c r="A32" s="676"/>
      <c r="B32" s="678"/>
      <c r="C32" s="678"/>
      <c r="D32" s="678"/>
      <c r="E32" s="678"/>
      <c r="F32" s="146" t="s">
        <v>565</v>
      </c>
      <c r="G32" s="147" t="s">
        <v>566</v>
      </c>
      <c r="H32" s="148" t="s">
        <v>80</v>
      </c>
      <c r="I32" s="149" t="s">
        <v>567</v>
      </c>
      <c r="J32" s="454">
        <v>970</v>
      </c>
      <c r="K32" s="144"/>
      <c r="L32" s="145"/>
      <c r="M32" s="455"/>
      <c r="N32" s="144"/>
      <c r="O32" s="451"/>
      <c r="P32" s="453"/>
      <c r="Q32" s="454">
        <v>951.30872999999997</v>
      </c>
      <c r="R32" s="430">
        <f t="shared" si="0"/>
        <v>0.98073064948453603</v>
      </c>
    </row>
    <row r="33" spans="1:19" ht="52.5" customHeight="1">
      <c r="A33" s="676"/>
      <c r="B33" s="678"/>
      <c r="C33" s="678"/>
      <c r="D33" s="678"/>
      <c r="E33" s="678"/>
      <c r="F33" s="146" t="s">
        <v>565</v>
      </c>
      <c r="G33" s="147" t="s">
        <v>352</v>
      </c>
      <c r="H33" s="148" t="s">
        <v>80</v>
      </c>
      <c r="I33" s="149" t="s">
        <v>87</v>
      </c>
      <c r="J33" s="454">
        <v>949.5</v>
      </c>
      <c r="K33" s="144"/>
      <c r="L33" s="145"/>
      <c r="M33" s="451">
        <v>949.5</v>
      </c>
      <c r="N33" s="144"/>
      <c r="O33" s="451">
        <v>800</v>
      </c>
      <c r="P33" s="453"/>
      <c r="Q33" s="454">
        <v>949.5</v>
      </c>
      <c r="R33" s="430">
        <f t="shared" si="0"/>
        <v>1</v>
      </c>
    </row>
    <row r="34" spans="1:19" ht="34.5" customHeight="1">
      <c r="A34" s="676"/>
      <c r="B34" s="678"/>
      <c r="C34" s="678"/>
      <c r="D34" s="678"/>
      <c r="E34" s="678"/>
      <c r="F34" s="146" t="s">
        <v>582</v>
      </c>
      <c r="G34" s="147" t="s">
        <v>578</v>
      </c>
      <c r="H34" s="148" t="s">
        <v>80</v>
      </c>
      <c r="I34" s="149" t="s">
        <v>562</v>
      </c>
      <c r="J34" s="454">
        <v>800</v>
      </c>
      <c r="K34" s="144"/>
      <c r="L34" s="145"/>
      <c r="M34" s="451"/>
      <c r="N34" s="144"/>
      <c r="O34" s="451"/>
      <c r="P34" s="453"/>
      <c r="Q34" s="454">
        <v>800</v>
      </c>
      <c r="R34" s="430">
        <f t="shared" si="0"/>
        <v>1</v>
      </c>
    </row>
    <row r="35" spans="1:19" ht="34.5" customHeight="1">
      <c r="A35" s="676"/>
      <c r="B35" s="678"/>
      <c r="C35" s="678"/>
      <c r="D35" s="678"/>
      <c r="E35" s="678"/>
      <c r="F35" s="140">
        <v>4</v>
      </c>
      <c r="G35" s="141" t="s">
        <v>353</v>
      </c>
      <c r="H35" s="142"/>
      <c r="I35" s="143" t="s">
        <v>89</v>
      </c>
      <c r="J35" s="446">
        <f>J36+J37+J38+J39+J40+J41+J42+J43+J44</f>
        <v>14488.977699999999</v>
      </c>
      <c r="K35" s="446">
        <f t="shared" ref="K35:Q35" si="3">K36+K37+K38+K39+K40+K41+K42+K43+K44</f>
        <v>12340.66</v>
      </c>
      <c r="L35" s="446">
        <f t="shared" si="3"/>
        <v>12480.66</v>
      </c>
      <c r="M35" s="446">
        <f t="shared" si="3"/>
        <v>12340.66</v>
      </c>
      <c r="N35" s="446">
        <f t="shared" si="3"/>
        <v>12340.66</v>
      </c>
      <c r="O35" s="446">
        <f t="shared" si="3"/>
        <v>13375.547699999999</v>
      </c>
      <c r="P35" s="446">
        <f t="shared" si="3"/>
        <v>12340.66</v>
      </c>
      <c r="Q35" s="446">
        <f t="shared" si="3"/>
        <v>14474.197699999997</v>
      </c>
      <c r="R35" s="429">
        <f t="shared" si="0"/>
        <v>0.998979914228179</v>
      </c>
      <c r="S35" s="271">
        <f>Q36+Q37+Q38+Q39+Q40+Q44+Q41+Q42+Q43</f>
        <v>14474.197699999999</v>
      </c>
    </row>
    <row r="36" spans="1:19" ht="15" customHeight="1">
      <c r="A36" s="676"/>
      <c r="B36" s="678"/>
      <c r="C36" s="678"/>
      <c r="D36" s="678"/>
      <c r="E36" s="678"/>
      <c r="F36" s="146" t="s">
        <v>354</v>
      </c>
      <c r="G36" s="147" t="s">
        <v>355</v>
      </c>
      <c r="H36" s="148" t="s">
        <v>94</v>
      </c>
      <c r="I36" s="149" t="s">
        <v>206</v>
      </c>
      <c r="J36" s="450">
        <v>8852.9599999999991</v>
      </c>
      <c r="K36" s="450">
        <v>8852.9599999999991</v>
      </c>
      <c r="L36" s="450">
        <v>8852.9599999999991</v>
      </c>
      <c r="M36" s="450">
        <v>8852.9599999999991</v>
      </c>
      <c r="N36" s="450">
        <v>8852.9599999999991</v>
      </c>
      <c r="O36" s="450">
        <v>8852.9599999999991</v>
      </c>
      <c r="P36" s="450">
        <v>8852.9599999999991</v>
      </c>
      <c r="Q36" s="450">
        <v>8852.9599999999991</v>
      </c>
      <c r="R36" s="430">
        <f t="shared" si="0"/>
        <v>1</v>
      </c>
    </row>
    <row r="37" spans="1:19" ht="19.5" customHeight="1">
      <c r="A37" s="676"/>
      <c r="B37" s="678"/>
      <c r="C37" s="678"/>
      <c r="D37" s="678"/>
      <c r="E37" s="678"/>
      <c r="F37" s="146" t="s">
        <v>356</v>
      </c>
      <c r="G37" s="147" t="s">
        <v>357</v>
      </c>
      <c r="H37" s="148" t="s">
        <v>94</v>
      </c>
      <c r="I37" s="149" t="s">
        <v>206</v>
      </c>
      <c r="J37" s="450">
        <v>19.89</v>
      </c>
      <c r="K37" s="144"/>
      <c r="L37" s="145"/>
      <c r="M37" s="451"/>
      <c r="N37" s="144"/>
      <c r="O37" s="451"/>
      <c r="P37" s="453"/>
      <c r="Q37" s="450">
        <v>19.89</v>
      </c>
      <c r="R37" s="430">
        <f t="shared" si="0"/>
        <v>1</v>
      </c>
    </row>
    <row r="38" spans="1:19" ht="18.75" customHeight="1">
      <c r="A38" s="676"/>
      <c r="B38" s="678"/>
      <c r="C38" s="678"/>
      <c r="D38" s="678"/>
      <c r="E38" s="678"/>
      <c r="F38" s="146" t="s">
        <v>358</v>
      </c>
      <c r="G38" s="147" t="s">
        <v>359</v>
      </c>
      <c r="H38" s="148" t="s">
        <v>94</v>
      </c>
      <c r="I38" s="149" t="s">
        <v>212</v>
      </c>
      <c r="J38" s="450">
        <v>647.65</v>
      </c>
      <c r="K38" s="144"/>
      <c r="L38" s="145"/>
      <c r="M38" s="451"/>
      <c r="N38" s="144"/>
      <c r="O38" s="451"/>
      <c r="P38" s="453"/>
      <c r="Q38" s="450">
        <v>647.65</v>
      </c>
      <c r="R38" s="430">
        <f t="shared" si="0"/>
        <v>1</v>
      </c>
    </row>
    <row r="39" spans="1:19" ht="18.75" customHeight="1">
      <c r="A39" s="676"/>
      <c r="B39" s="678"/>
      <c r="C39" s="678"/>
      <c r="D39" s="678"/>
      <c r="E39" s="678"/>
      <c r="F39" s="146" t="s">
        <v>360</v>
      </c>
      <c r="G39" s="147" t="s">
        <v>361</v>
      </c>
      <c r="H39" s="148" t="s">
        <v>94</v>
      </c>
      <c r="I39" s="149" t="s">
        <v>212</v>
      </c>
      <c r="J39" s="450">
        <v>75.89</v>
      </c>
      <c r="K39" s="144"/>
      <c r="L39" s="145"/>
      <c r="M39" s="451"/>
      <c r="N39" s="144"/>
      <c r="O39" s="451"/>
      <c r="P39" s="453"/>
      <c r="Q39" s="450">
        <v>75.89</v>
      </c>
      <c r="R39" s="430">
        <f t="shared" si="0"/>
        <v>1</v>
      </c>
    </row>
    <row r="40" spans="1:19" ht="15.75">
      <c r="A40" s="676"/>
      <c r="B40" s="678"/>
      <c r="C40" s="678"/>
      <c r="D40" s="678"/>
      <c r="E40" s="678"/>
      <c r="F40" s="146" t="s">
        <v>362</v>
      </c>
      <c r="G40" s="147" t="s">
        <v>92</v>
      </c>
      <c r="H40" s="148" t="s">
        <v>94</v>
      </c>
      <c r="I40" s="149" t="s">
        <v>93</v>
      </c>
      <c r="J40" s="450">
        <f>25+82.4+127.6</f>
        <v>235</v>
      </c>
      <c r="K40" s="144"/>
      <c r="L40" s="145">
        <v>100</v>
      </c>
      <c r="M40" s="451"/>
      <c r="N40" s="144"/>
      <c r="O40" s="451">
        <v>15</v>
      </c>
      <c r="P40" s="453"/>
      <c r="Q40" s="450">
        <v>220.22</v>
      </c>
      <c r="R40" s="430">
        <f t="shared" si="0"/>
        <v>0.9371063829787234</v>
      </c>
    </row>
    <row r="41" spans="1:19" ht="15.75">
      <c r="A41" s="676"/>
      <c r="B41" s="678"/>
      <c r="C41" s="678"/>
      <c r="D41" s="678"/>
      <c r="E41" s="678"/>
      <c r="F41" s="146" t="s">
        <v>365</v>
      </c>
      <c r="G41" s="147" t="s">
        <v>366</v>
      </c>
      <c r="H41" s="148" t="s">
        <v>94</v>
      </c>
      <c r="I41" s="149" t="s">
        <v>214</v>
      </c>
      <c r="J41" s="450">
        <f>150+O41</f>
        <v>184.2877</v>
      </c>
      <c r="K41" s="144"/>
      <c r="L41" s="145">
        <v>40</v>
      </c>
      <c r="M41" s="451"/>
      <c r="N41" s="144"/>
      <c r="O41" s="451">
        <v>34.287700000000001</v>
      </c>
      <c r="P41" s="453"/>
      <c r="Q41" s="450">
        <v>184.2877</v>
      </c>
      <c r="R41" s="430">
        <f t="shared" si="0"/>
        <v>1</v>
      </c>
    </row>
    <row r="42" spans="1:19" ht="15.75">
      <c r="A42" s="676"/>
      <c r="B42" s="678"/>
      <c r="C42" s="678"/>
      <c r="D42" s="678"/>
      <c r="E42" s="678"/>
      <c r="F42" s="151" t="s">
        <v>367</v>
      </c>
      <c r="G42" s="152" t="s">
        <v>368</v>
      </c>
      <c r="H42" s="153" t="s">
        <v>94</v>
      </c>
      <c r="I42" s="154" t="s">
        <v>217</v>
      </c>
      <c r="J42" s="454">
        <f>908.912</f>
        <v>908.91200000000003</v>
      </c>
      <c r="K42" s="144"/>
      <c r="L42" s="145"/>
      <c r="M42" s="451"/>
      <c r="N42" s="144"/>
      <c r="O42" s="451">
        <v>908.91</v>
      </c>
      <c r="P42" s="453"/>
      <c r="Q42" s="454">
        <v>908.91200000000003</v>
      </c>
      <c r="R42" s="430">
        <f t="shared" si="0"/>
        <v>1</v>
      </c>
    </row>
    <row r="43" spans="1:19" ht="15.75">
      <c r="A43" s="676"/>
      <c r="B43" s="678"/>
      <c r="C43" s="678"/>
      <c r="D43" s="678"/>
      <c r="E43" s="678"/>
      <c r="F43" s="155" t="s">
        <v>369</v>
      </c>
      <c r="G43" s="152" t="s">
        <v>370</v>
      </c>
      <c r="H43" s="153" t="s">
        <v>94</v>
      </c>
      <c r="I43" s="154" t="s">
        <v>217</v>
      </c>
      <c r="J43" s="454">
        <f>76.688</f>
        <v>76.688000000000002</v>
      </c>
      <c r="K43" s="144"/>
      <c r="L43" s="145"/>
      <c r="M43" s="451"/>
      <c r="N43" s="144"/>
      <c r="O43" s="451">
        <v>76.69</v>
      </c>
      <c r="P43" s="453"/>
      <c r="Q43" s="454">
        <v>76.688000000000002</v>
      </c>
      <c r="R43" s="430">
        <f t="shared" si="0"/>
        <v>1</v>
      </c>
    </row>
    <row r="44" spans="1:19" ht="15.75">
      <c r="A44" s="676"/>
      <c r="B44" s="678"/>
      <c r="C44" s="678"/>
      <c r="D44" s="678"/>
      <c r="E44" s="678"/>
      <c r="F44" s="146" t="s">
        <v>363</v>
      </c>
      <c r="G44" s="147" t="s">
        <v>364</v>
      </c>
      <c r="H44" s="148" t="s">
        <v>94</v>
      </c>
      <c r="I44" s="149" t="s">
        <v>215</v>
      </c>
      <c r="J44" s="454">
        <v>3487.7</v>
      </c>
      <c r="K44" s="454">
        <v>3487.7</v>
      </c>
      <c r="L44" s="454">
        <v>3487.7</v>
      </c>
      <c r="M44" s="454">
        <v>3487.7</v>
      </c>
      <c r="N44" s="454">
        <v>3487.7</v>
      </c>
      <c r="O44" s="454">
        <v>3487.7</v>
      </c>
      <c r="P44" s="454">
        <v>3487.7</v>
      </c>
      <c r="Q44" s="454">
        <v>3487.7</v>
      </c>
      <c r="R44" s="430">
        <f t="shared" ref="R44" si="4">Q44/J44</f>
        <v>1</v>
      </c>
    </row>
    <row r="45" spans="1:19" ht="34.5" customHeight="1">
      <c r="A45" s="676"/>
      <c r="B45" s="678"/>
      <c r="C45" s="678"/>
      <c r="D45" s="678"/>
      <c r="E45" s="678"/>
      <c r="F45" s="140">
        <v>5</v>
      </c>
      <c r="G45" s="141" t="s">
        <v>371</v>
      </c>
      <c r="H45" s="142"/>
      <c r="I45" s="143" t="s">
        <v>96</v>
      </c>
      <c r="J45" s="446">
        <f>SUM(J46:J52)</f>
        <v>3649.4252699999997</v>
      </c>
      <c r="K45" s="144"/>
      <c r="L45" s="145"/>
      <c r="M45" s="451"/>
      <c r="N45" s="144"/>
      <c r="O45" s="451"/>
      <c r="P45" s="453"/>
      <c r="Q45" s="446">
        <f>SUM(Q46:Q52)</f>
        <v>1725.9023999999999</v>
      </c>
      <c r="R45" s="429">
        <f t="shared" si="0"/>
        <v>0.47292443941453832</v>
      </c>
      <c r="S45" s="271">
        <f>Q46+Q47+Q48+Q49+Q50+Q51+Q52</f>
        <v>1725.9023999999999</v>
      </c>
    </row>
    <row r="46" spans="1:19" ht="31.5">
      <c r="A46" s="676"/>
      <c r="B46" s="678"/>
      <c r="C46" s="678"/>
      <c r="D46" s="678"/>
      <c r="E46" s="678"/>
      <c r="F46" s="146" t="s">
        <v>372</v>
      </c>
      <c r="G46" s="147" t="s">
        <v>373</v>
      </c>
      <c r="H46" s="148" t="s">
        <v>221</v>
      </c>
      <c r="I46" s="149" t="s">
        <v>223</v>
      </c>
      <c r="J46" s="450">
        <v>429</v>
      </c>
      <c r="K46" s="144"/>
      <c r="L46" s="145"/>
      <c r="M46" s="451"/>
      <c r="N46" s="144"/>
      <c r="O46" s="451"/>
      <c r="P46" s="453"/>
      <c r="Q46" s="450">
        <v>429</v>
      </c>
      <c r="R46" s="430">
        <f t="shared" si="0"/>
        <v>1</v>
      </c>
    </row>
    <row r="47" spans="1:19" ht="31.5">
      <c r="A47" s="676"/>
      <c r="B47" s="678"/>
      <c r="C47" s="678"/>
      <c r="D47" s="678"/>
      <c r="E47" s="678"/>
      <c r="F47" s="146"/>
      <c r="G47" s="147" t="s">
        <v>374</v>
      </c>
      <c r="H47" s="148" t="s">
        <v>99</v>
      </c>
      <c r="I47" s="149" t="s">
        <v>223</v>
      </c>
      <c r="J47" s="454">
        <v>855</v>
      </c>
      <c r="K47" s="156">
        <v>429</v>
      </c>
      <c r="L47" s="150"/>
      <c r="M47" s="456"/>
      <c r="N47" s="156"/>
      <c r="O47" s="456"/>
      <c r="P47" s="453"/>
      <c r="Q47" s="454">
        <v>855</v>
      </c>
      <c r="R47" s="430">
        <f t="shared" si="0"/>
        <v>1</v>
      </c>
    </row>
    <row r="48" spans="1:19" ht="15.75">
      <c r="A48" s="676"/>
      <c r="B48" s="678"/>
      <c r="C48" s="678"/>
      <c r="D48" s="678"/>
      <c r="E48" s="678"/>
      <c r="F48" s="146" t="s">
        <v>375</v>
      </c>
      <c r="G48" s="147" t="s">
        <v>108</v>
      </c>
      <c r="H48" s="148" t="s">
        <v>107</v>
      </c>
      <c r="I48" s="149" t="s">
        <v>109</v>
      </c>
      <c r="J48" s="450">
        <f>30+40</f>
        <v>70</v>
      </c>
      <c r="K48" s="144"/>
      <c r="L48" s="145">
        <v>20</v>
      </c>
      <c r="M48" s="451"/>
      <c r="N48" s="144"/>
      <c r="O48" s="451"/>
      <c r="P48" s="453"/>
      <c r="Q48" s="450">
        <v>68.626000000000005</v>
      </c>
      <c r="R48" s="430">
        <f t="shared" si="0"/>
        <v>0.98037142857142867</v>
      </c>
    </row>
    <row r="49" spans="1:19" ht="15.75">
      <c r="A49" s="676"/>
      <c r="B49" s="678"/>
      <c r="C49" s="678"/>
      <c r="D49" s="678"/>
      <c r="E49" s="678"/>
      <c r="F49" s="146" t="s">
        <v>376</v>
      </c>
      <c r="G49" s="147" t="s">
        <v>100</v>
      </c>
      <c r="H49" s="148" t="s">
        <v>99</v>
      </c>
      <c r="I49" s="149" t="s">
        <v>101</v>
      </c>
      <c r="J49" s="450">
        <f>10+90+30</f>
        <v>130</v>
      </c>
      <c r="K49" s="144"/>
      <c r="L49" s="145"/>
      <c r="M49" s="451"/>
      <c r="N49" s="144"/>
      <c r="O49" s="451"/>
      <c r="P49" s="453"/>
      <c r="Q49" s="450">
        <f>7.8+75.88+24.5</f>
        <v>108.17999999999999</v>
      </c>
      <c r="R49" s="430">
        <f t="shared" si="0"/>
        <v>0.83215384615384613</v>
      </c>
    </row>
    <row r="50" spans="1:19" ht="15.75">
      <c r="A50" s="676"/>
      <c r="B50" s="678"/>
      <c r="C50" s="678"/>
      <c r="D50" s="678"/>
      <c r="E50" s="678"/>
      <c r="F50" s="146" t="s">
        <v>377</v>
      </c>
      <c r="G50" s="147" t="s">
        <v>110</v>
      </c>
      <c r="H50" s="148" t="s">
        <v>107</v>
      </c>
      <c r="I50" s="149" t="s">
        <v>111</v>
      </c>
      <c r="J50" s="450">
        <v>220</v>
      </c>
      <c r="K50" s="144"/>
      <c r="L50" s="145">
        <v>120</v>
      </c>
      <c r="M50" s="451"/>
      <c r="N50" s="144"/>
      <c r="O50" s="451"/>
      <c r="P50" s="453"/>
      <c r="Q50" s="450">
        <v>219.67113000000001</v>
      </c>
      <c r="R50" s="430">
        <f t="shared" si="0"/>
        <v>0.99850513636363636</v>
      </c>
    </row>
    <row r="51" spans="1:19" ht="18.75" customHeight="1">
      <c r="A51" s="676"/>
      <c r="B51" s="678"/>
      <c r="C51" s="678"/>
      <c r="D51" s="678"/>
      <c r="E51" s="678"/>
      <c r="F51" s="146" t="s">
        <v>378</v>
      </c>
      <c r="G51" s="147" t="s">
        <v>114</v>
      </c>
      <c r="H51" s="148" t="s">
        <v>107</v>
      </c>
      <c r="I51" s="149" t="s">
        <v>115</v>
      </c>
      <c r="J51" s="450">
        <f>45.42527</f>
        <v>45.425269999999998</v>
      </c>
      <c r="K51" s="144"/>
      <c r="L51" s="145"/>
      <c r="M51" s="451" t="s">
        <v>379</v>
      </c>
      <c r="N51" s="144"/>
      <c r="O51" s="451" t="s">
        <v>380</v>
      </c>
      <c r="P51" s="453"/>
      <c r="Q51" s="450">
        <v>45.425269999999998</v>
      </c>
      <c r="R51" s="430">
        <f t="shared" si="0"/>
        <v>1</v>
      </c>
    </row>
    <row r="52" spans="1:19" ht="18.75" customHeight="1">
      <c r="A52" s="677"/>
      <c r="B52" s="664"/>
      <c r="C52" s="664"/>
      <c r="D52" s="664"/>
      <c r="E52" s="664"/>
      <c r="F52" s="146" t="s">
        <v>381</v>
      </c>
      <c r="G52" s="147" t="s">
        <v>382</v>
      </c>
      <c r="H52" s="148" t="s">
        <v>99</v>
      </c>
      <c r="I52" s="149" t="s">
        <v>103</v>
      </c>
      <c r="J52" s="450">
        <v>1900</v>
      </c>
      <c r="K52" s="144"/>
      <c r="L52" s="145"/>
      <c r="M52" s="451">
        <v>1900</v>
      </c>
      <c r="N52" s="144"/>
      <c r="O52" s="451"/>
      <c r="P52" s="453"/>
      <c r="Q52" s="450">
        <v>0</v>
      </c>
      <c r="R52" s="430">
        <f t="shared" si="0"/>
        <v>0</v>
      </c>
    </row>
    <row r="53" spans="1:19" ht="75.75" customHeight="1">
      <c r="A53" s="157" t="s">
        <v>383</v>
      </c>
      <c r="B53" s="459" t="s">
        <v>384</v>
      </c>
      <c r="C53" s="460" t="s">
        <v>385</v>
      </c>
      <c r="D53" s="158" t="s">
        <v>386</v>
      </c>
      <c r="E53" s="138" t="s">
        <v>387</v>
      </c>
      <c r="F53" s="140">
        <v>6</v>
      </c>
      <c r="G53" s="141" t="s">
        <v>321</v>
      </c>
      <c r="H53" s="142" t="s">
        <v>28</v>
      </c>
      <c r="I53" s="143" t="s">
        <v>195</v>
      </c>
      <c r="J53" s="446">
        <v>10</v>
      </c>
      <c r="K53" s="144">
        <v>10</v>
      </c>
      <c r="L53" s="145"/>
      <c r="M53" s="451"/>
      <c r="N53" s="144"/>
      <c r="O53" s="451"/>
      <c r="P53" s="453"/>
      <c r="Q53" s="446">
        <v>9.4499999999999993</v>
      </c>
      <c r="R53" s="429">
        <f t="shared" si="0"/>
        <v>0.94499999999999995</v>
      </c>
    </row>
    <row r="54" spans="1:19" ht="75" customHeight="1">
      <c r="A54" s="157" t="s">
        <v>388</v>
      </c>
      <c r="B54" s="344" t="s">
        <v>389</v>
      </c>
      <c r="C54" s="461" t="s">
        <v>390</v>
      </c>
      <c r="D54" s="138" t="s">
        <v>391</v>
      </c>
      <c r="E54" s="138" t="s">
        <v>392</v>
      </c>
      <c r="F54" s="140">
        <v>7</v>
      </c>
      <c r="G54" s="141" t="s">
        <v>196</v>
      </c>
      <c r="H54" s="142" t="s">
        <v>138</v>
      </c>
      <c r="I54" s="143" t="s">
        <v>197</v>
      </c>
      <c r="J54" s="446">
        <f>535+41.1</f>
        <v>576.1</v>
      </c>
      <c r="K54" s="144"/>
      <c r="L54" s="145"/>
      <c r="M54" s="451"/>
      <c r="N54" s="144"/>
      <c r="O54" s="451"/>
      <c r="P54" s="453"/>
      <c r="Q54" s="446">
        <v>496.58321999999998</v>
      </c>
      <c r="R54" s="429">
        <f t="shared" si="0"/>
        <v>0.86197399756986626</v>
      </c>
    </row>
    <row r="55" spans="1:19" ht="120.75" customHeight="1">
      <c r="A55" s="157" t="s">
        <v>393</v>
      </c>
      <c r="B55" s="344" t="s">
        <v>394</v>
      </c>
      <c r="C55" s="344" t="s">
        <v>395</v>
      </c>
      <c r="D55" s="138" t="s">
        <v>386</v>
      </c>
      <c r="E55" s="138" t="s">
        <v>396</v>
      </c>
      <c r="F55" s="140">
        <v>8</v>
      </c>
      <c r="G55" s="141" t="s">
        <v>323</v>
      </c>
      <c r="H55" s="142" t="s">
        <v>32</v>
      </c>
      <c r="I55" s="143" t="s">
        <v>199</v>
      </c>
      <c r="J55" s="446">
        <v>10</v>
      </c>
      <c r="K55" s="159">
        <v>10</v>
      </c>
      <c r="L55" s="145"/>
      <c r="M55" s="451"/>
      <c r="N55" s="144"/>
      <c r="O55" s="451"/>
      <c r="P55" s="453"/>
      <c r="Q55" s="446">
        <v>10</v>
      </c>
      <c r="R55" s="429">
        <f t="shared" si="0"/>
        <v>1</v>
      </c>
    </row>
    <row r="56" spans="1:19" ht="63.75">
      <c r="A56" s="157" t="s">
        <v>397</v>
      </c>
      <c r="B56" s="344" t="s">
        <v>398</v>
      </c>
      <c r="C56" s="344" t="s">
        <v>399</v>
      </c>
      <c r="D56" s="138" t="s">
        <v>391</v>
      </c>
      <c r="E56" s="138" t="s">
        <v>400</v>
      </c>
      <c r="F56" s="140">
        <v>9</v>
      </c>
      <c r="G56" s="141" t="s">
        <v>200</v>
      </c>
      <c r="H56" s="142" t="s">
        <v>138</v>
      </c>
      <c r="I56" s="143" t="s">
        <v>201</v>
      </c>
      <c r="J56" s="446">
        <v>53.6</v>
      </c>
      <c r="K56" s="144"/>
      <c r="L56" s="145"/>
      <c r="M56" s="451"/>
      <c r="N56" s="144"/>
      <c r="O56" s="451"/>
      <c r="P56" s="453"/>
      <c r="Q56" s="446">
        <v>53.5</v>
      </c>
      <c r="R56" s="429">
        <f t="shared" si="0"/>
        <v>0.99813432835820892</v>
      </c>
    </row>
    <row r="57" spans="1:19" ht="53.25" customHeight="1">
      <c r="A57" s="157"/>
      <c r="B57" s="661" t="s">
        <v>401</v>
      </c>
      <c r="C57" s="661" t="s">
        <v>402</v>
      </c>
      <c r="D57" s="663" t="s">
        <v>403</v>
      </c>
      <c r="E57" s="663" t="s">
        <v>404</v>
      </c>
      <c r="F57" s="665">
        <v>10</v>
      </c>
      <c r="G57" s="141" t="s">
        <v>405</v>
      </c>
      <c r="H57" s="142" t="s">
        <v>68</v>
      </c>
      <c r="I57" s="143" t="s">
        <v>191</v>
      </c>
      <c r="J57" s="446">
        <v>482.34</v>
      </c>
      <c r="K57" s="144"/>
      <c r="L57" s="145"/>
      <c r="M57" s="451">
        <v>482.34</v>
      </c>
      <c r="N57" s="144"/>
      <c r="O57" s="451"/>
      <c r="P57" s="453"/>
      <c r="Q57" s="446">
        <v>482.34</v>
      </c>
      <c r="R57" s="429">
        <f t="shared" si="0"/>
        <v>1</v>
      </c>
    </row>
    <row r="58" spans="1:19" ht="63" customHeight="1">
      <c r="A58" s="157" t="s">
        <v>406</v>
      </c>
      <c r="B58" s="662"/>
      <c r="C58" s="662"/>
      <c r="D58" s="664"/>
      <c r="E58" s="664"/>
      <c r="F58" s="666"/>
      <c r="G58" s="141" t="s">
        <v>407</v>
      </c>
      <c r="H58" s="142" t="s">
        <v>68</v>
      </c>
      <c r="I58" s="143" t="s">
        <v>203</v>
      </c>
      <c r="J58" s="457">
        <f>104.42283</f>
        <v>104.42283</v>
      </c>
      <c r="K58" s="457">
        <f t="shared" ref="K58:Q58" si="5">104.42283</f>
        <v>104.42283</v>
      </c>
      <c r="L58" s="457">
        <f t="shared" si="5"/>
        <v>104.42283</v>
      </c>
      <c r="M58" s="457">
        <f t="shared" si="5"/>
        <v>104.42283</v>
      </c>
      <c r="N58" s="457">
        <f t="shared" si="5"/>
        <v>104.42283</v>
      </c>
      <c r="O58" s="457">
        <f t="shared" si="5"/>
        <v>104.42283</v>
      </c>
      <c r="P58" s="457">
        <f t="shared" si="5"/>
        <v>104.42283</v>
      </c>
      <c r="Q58" s="457">
        <f t="shared" si="5"/>
        <v>104.42283</v>
      </c>
      <c r="R58" s="429">
        <f t="shared" si="0"/>
        <v>1</v>
      </c>
    </row>
    <row r="59" spans="1:19" ht="28.5" customHeight="1">
      <c r="A59" s="667" t="s">
        <v>408</v>
      </c>
      <c r="B59" s="668"/>
      <c r="C59" s="668"/>
      <c r="D59" s="668"/>
      <c r="E59" s="668"/>
      <c r="F59" s="668"/>
      <c r="G59" s="669"/>
      <c r="H59" s="138"/>
      <c r="I59" s="160"/>
      <c r="J59" s="593">
        <f>J8+J15+J20+J35+J45+J53+J54+J55+J56+J58+J57</f>
        <v>35264.655269999996</v>
      </c>
      <c r="K59" s="161">
        <f>SUM(K8:K58)</f>
        <v>25854.742829999999</v>
      </c>
      <c r="L59" s="161" t="e">
        <f>L57+L9+L10+L11+L12+L13+L14+L16+L17+L18+L19+L21+L22+L23+L24+L25+L26+L27+L28+L29+L30+L31+L33+L36+L37+L38+L39+L40+#REF!+L41+L46+L47+L48+L49+L50+L53+L54+L55+L56+L58</f>
        <v>#REF!</v>
      </c>
      <c r="M59" s="162" t="e">
        <f>M57+M9+M10+M11+M12+M13+M14+M16+M17+M18+M19+M21+M22+M23+M24+M25+M26+M27+M28+M29+M30+M31+M33+M36+M37+M38+M39+M40+#REF!+M41+M46+M47+M48+M49+M50+M53+M54+M55+M56+M58+M52</f>
        <v>#VALUE!</v>
      </c>
      <c r="N59" s="162" t="e">
        <f>N57+N9+N10+N11+N12+N13+N14+N16+N17+N18+N19+N21+N22+N23+N24+N25+N26+N27+N28+N29+N30+N31+N33+N36+N37+N38+N39+N40+#REF!+N41+N46+N47+N48+N49+N50+N53+N54+N55+N56+N58+N52</f>
        <v>#REF!</v>
      </c>
      <c r="O59" s="162">
        <f>SUM(O8:O58)</f>
        <v>32073.416829999998</v>
      </c>
      <c r="P59" s="161" t="e">
        <f>P57+P9+P10+P11+P12+P13+P14+P16+P17+P18+P19+P21+P22+P23+P24+P25+P26+P27+P28+P29+P30+P31+P33+P36+P37+P38+P39+P40+#REF!+P41+P46+P47+P48+P49+P50+P53+P54+P55+P56+P58+P52</f>
        <v>#REF!</v>
      </c>
      <c r="Q59" s="593">
        <f>Q8+Q15+Q20+Q35+Q45+Q53+Q54+Q55+Q56+Q58+Q57</f>
        <v>31600.676499999998</v>
      </c>
      <c r="R59" s="429">
        <f t="shared" si="0"/>
        <v>0.89610053630335695</v>
      </c>
      <c r="S59" s="271">
        <f>Q9+Q10+Q11+Q12+Q13+Q14+Q16+Q17+Q18+Q19+Q21+Q22+Q23+Q24+Q25+Q26+Q27+Q28+Q29+Q30+Q31+Q32+Q33+Q36+Q37+Q38+Q39+Q40+Q41+Q42+Q43+Q46+Q47+Q48+Q49+Q50+Q51+Q52+Q53+Q54+Q55+Q56+Q57+Q58+Q44</f>
        <v>30800.676500000001</v>
      </c>
    </row>
    <row r="60" spans="1:19">
      <c r="K60" s="458"/>
    </row>
    <row r="61" spans="1:19">
      <c r="K61" s="458"/>
    </row>
    <row r="62" spans="1:19">
      <c r="K62" s="458"/>
    </row>
    <row r="63" spans="1:19">
      <c r="K63" s="458"/>
    </row>
    <row r="64" spans="1:19">
      <c r="K64" s="458"/>
    </row>
    <row r="65" spans="11:11">
      <c r="K65" s="458"/>
    </row>
    <row r="66" spans="11:11">
      <c r="K66" s="458"/>
    </row>
    <row r="67" spans="11:11">
      <c r="K67" s="458"/>
    </row>
    <row r="68" spans="11:11">
      <c r="K68" s="458"/>
    </row>
    <row r="69" spans="11:11">
      <c r="K69" s="458"/>
    </row>
    <row r="70" spans="11:11">
      <c r="K70" s="458"/>
    </row>
    <row r="71" spans="11:11">
      <c r="K71" s="458"/>
    </row>
    <row r="72" spans="11:11">
      <c r="K72" s="458"/>
    </row>
    <row r="73" spans="11:11">
      <c r="K73" s="458"/>
    </row>
    <row r="74" spans="11:11">
      <c r="K74" s="458"/>
    </row>
    <row r="75" spans="11:11">
      <c r="K75" s="458"/>
    </row>
    <row r="76" spans="11:11">
      <c r="K76" s="458"/>
    </row>
    <row r="77" spans="11:11">
      <c r="K77" s="458"/>
    </row>
    <row r="78" spans="11:11">
      <c r="K78" s="458"/>
    </row>
    <row r="79" spans="11:11">
      <c r="K79" s="458"/>
    </row>
    <row r="80" spans="11:11">
      <c r="K80" s="458"/>
    </row>
    <row r="81" spans="11:11">
      <c r="K81" s="458"/>
    </row>
    <row r="82" spans="11:11">
      <c r="K82" s="458"/>
    </row>
    <row r="83" spans="11:11">
      <c r="K83" s="458"/>
    </row>
    <row r="84" spans="11:11">
      <c r="K84" s="458"/>
    </row>
    <row r="85" spans="11:11">
      <c r="K85" s="458"/>
    </row>
    <row r="86" spans="11:11">
      <c r="K86" s="458"/>
    </row>
    <row r="87" spans="11:11">
      <c r="K87" s="458"/>
    </row>
    <row r="88" spans="11:11">
      <c r="K88" s="458"/>
    </row>
    <row r="89" spans="11:11">
      <c r="K89" s="458"/>
    </row>
    <row r="90" spans="11:11">
      <c r="K90" s="458"/>
    </row>
    <row r="91" spans="11:11">
      <c r="K91" s="458"/>
    </row>
    <row r="92" spans="11:11">
      <c r="K92" s="458"/>
    </row>
    <row r="93" spans="11:11">
      <c r="K93" s="458"/>
    </row>
    <row r="94" spans="11:11">
      <c r="K94" s="458"/>
    </row>
    <row r="95" spans="11:11">
      <c r="K95" s="458"/>
    </row>
    <row r="96" spans="11:11">
      <c r="K96" s="458"/>
    </row>
    <row r="97" spans="11:11">
      <c r="K97" s="458"/>
    </row>
    <row r="98" spans="11:11">
      <c r="K98" s="458"/>
    </row>
    <row r="99" spans="11:11">
      <c r="K99" s="458"/>
    </row>
    <row r="100" spans="11:11">
      <c r="K100" s="458"/>
    </row>
    <row r="101" spans="11:11">
      <c r="K101" s="458"/>
    </row>
    <row r="102" spans="11:11">
      <c r="K102" s="458"/>
    </row>
  </sheetData>
  <mergeCells count="22">
    <mergeCell ref="J1:Q1"/>
    <mergeCell ref="A5:J5"/>
    <mergeCell ref="A3:G3"/>
    <mergeCell ref="H3:J3"/>
    <mergeCell ref="H4:J4"/>
    <mergeCell ref="I2:Q2"/>
    <mergeCell ref="A59:G59"/>
    <mergeCell ref="F7:G7"/>
    <mergeCell ref="K7:L7"/>
    <mergeCell ref="M7:N7"/>
    <mergeCell ref="O7:P7"/>
    <mergeCell ref="A8:A52"/>
    <mergeCell ref="B8:B52"/>
    <mergeCell ref="C8:C52"/>
    <mergeCell ref="D8:D52"/>
    <mergeCell ref="E8:E52"/>
    <mergeCell ref="A6:Q6"/>
    <mergeCell ref="B57:B58"/>
    <mergeCell ref="C57:C58"/>
    <mergeCell ref="D57:D58"/>
    <mergeCell ref="E57:E58"/>
    <mergeCell ref="F57:F58"/>
  </mergeCells>
  <pageMargins left="0.11811023622047245" right="0.11811023622047245" top="0.94488188976377963" bottom="0.15748031496062992" header="0.31496062992125984" footer="0.31496062992125984"/>
  <pageSetup paperSize="9" scale="5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S171"/>
  <sheetViews>
    <sheetView view="pageBreakPreview" zoomScale="80" zoomScaleNormal="100" zoomScaleSheetLayoutView="80" workbookViewId="0">
      <selection activeCell="G2" sqref="G2:Q2"/>
    </sheetView>
  </sheetViews>
  <sheetFormatPr defaultRowHeight="12.75"/>
  <cols>
    <col min="1" max="1" width="49.28515625" style="2" customWidth="1"/>
    <col min="2" max="2" width="12.28515625" style="2" customWidth="1"/>
    <col min="3" max="3" width="7.5703125" style="2" customWidth="1"/>
    <col min="4" max="4" width="9.140625" style="2"/>
    <col min="5" max="6" width="13.140625" style="2" hidden="1" customWidth="1"/>
    <col min="7" max="7" width="13.42578125" style="269" customWidth="1"/>
    <col min="8" max="8" width="10.85546875" style="272" hidden="1" customWidth="1"/>
    <col min="9" max="9" width="13.28515625" style="273" hidden="1" customWidth="1"/>
    <col min="10" max="10" width="10.5703125" style="2" hidden="1" customWidth="1"/>
    <col min="11" max="11" width="6.140625" style="2" hidden="1" customWidth="1"/>
    <col min="12" max="12" width="9.140625" style="2" hidden="1" customWidth="1"/>
    <col min="13" max="13" width="6.5703125" style="2" hidden="1" customWidth="1"/>
    <col min="14" max="14" width="9.140625" style="2" hidden="1" customWidth="1" collapsed="1"/>
    <col min="15" max="15" width="4.140625" style="2" hidden="1" customWidth="1" collapsed="1"/>
    <col min="16" max="16" width="13.42578125" style="269" customWidth="1"/>
    <col min="17" max="17" width="13.42578125" style="426" customWidth="1" collapsed="1"/>
    <col min="18" max="256" width="9.140625" style="2"/>
    <col min="257" max="257" width="49.28515625" style="2" customWidth="1"/>
    <col min="258" max="258" width="12.28515625" style="2" customWidth="1"/>
    <col min="259" max="259" width="7.5703125" style="2" customWidth="1"/>
    <col min="260" max="260" width="9.140625" style="2"/>
    <col min="261" max="261" width="13.140625" style="2" customWidth="1"/>
    <col min="262" max="262" width="0" style="2" hidden="1" customWidth="1"/>
    <col min="263" max="263" width="13.42578125" style="2" customWidth="1"/>
    <col min="264" max="265" width="0" style="2" hidden="1" customWidth="1"/>
    <col min="266" max="266" width="10.5703125" style="2" customWidth="1"/>
    <col min="267" max="267" width="6.140625" style="2" customWidth="1"/>
    <col min="268" max="268" width="9.140625" style="2" customWidth="1"/>
    <col min="269" max="269" width="6.5703125" style="2" customWidth="1"/>
    <col min="270" max="270" width="9.140625" style="2" customWidth="1"/>
    <col min="271" max="271" width="4.140625" style="2" customWidth="1"/>
    <col min="272" max="512" width="9.140625" style="2"/>
    <col min="513" max="513" width="49.28515625" style="2" customWidth="1"/>
    <col min="514" max="514" width="12.28515625" style="2" customWidth="1"/>
    <col min="515" max="515" width="7.5703125" style="2" customWidth="1"/>
    <col min="516" max="516" width="9.140625" style="2"/>
    <col min="517" max="517" width="13.140625" style="2" customWidth="1"/>
    <col min="518" max="518" width="0" style="2" hidden="1" customWidth="1"/>
    <col min="519" max="519" width="13.42578125" style="2" customWidth="1"/>
    <col min="520" max="521" width="0" style="2" hidden="1" customWidth="1"/>
    <col min="522" max="522" width="10.5703125" style="2" customWidth="1"/>
    <col min="523" max="523" width="6.140625" style="2" customWidth="1"/>
    <col min="524" max="524" width="9.140625" style="2" customWidth="1"/>
    <col min="525" max="525" width="6.5703125" style="2" customWidth="1"/>
    <col min="526" max="526" width="9.140625" style="2" customWidth="1"/>
    <col min="527" max="527" width="4.140625" style="2" customWidth="1"/>
    <col min="528" max="768" width="9.140625" style="2"/>
    <col min="769" max="769" width="49.28515625" style="2" customWidth="1"/>
    <col min="770" max="770" width="12.28515625" style="2" customWidth="1"/>
    <col min="771" max="771" width="7.5703125" style="2" customWidth="1"/>
    <col min="772" max="772" width="9.140625" style="2"/>
    <col min="773" max="773" width="13.140625" style="2" customWidth="1"/>
    <col min="774" max="774" width="0" style="2" hidden="1" customWidth="1"/>
    <col min="775" max="775" width="13.42578125" style="2" customWidth="1"/>
    <col min="776" max="777" width="0" style="2" hidden="1" customWidth="1"/>
    <col min="778" max="778" width="10.5703125" style="2" customWidth="1"/>
    <col min="779" max="779" width="6.140625" style="2" customWidth="1"/>
    <col min="780" max="780" width="9.140625" style="2" customWidth="1"/>
    <col min="781" max="781" width="6.5703125" style="2" customWidth="1"/>
    <col min="782" max="782" width="9.140625" style="2" customWidth="1"/>
    <col min="783" max="783" width="4.140625" style="2" customWidth="1"/>
    <col min="784" max="1024" width="9.140625" style="2"/>
    <col min="1025" max="1025" width="49.28515625" style="2" customWidth="1"/>
    <col min="1026" max="1026" width="12.28515625" style="2" customWidth="1"/>
    <col min="1027" max="1027" width="7.5703125" style="2" customWidth="1"/>
    <col min="1028" max="1028" width="9.140625" style="2"/>
    <col min="1029" max="1029" width="13.140625" style="2" customWidth="1"/>
    <col min="1030" max="1030" width="0" style="2" hidden="1" customWidth="1"/>
    <col min="1031" max="1031" width="13.42578125" style="2" customWidth="1"/>
    <col min="1032" max="1033" width="0" style="2" hidden="1" customWidth="1"/>
    <col min="1034" max="1034" width="10.5703125" style="2" customWidth="1"/>
    <col min="1035" max="1035" width="6.140625" style="2" customWidth="1"/>
    <col min="1036" max="1036" width="9.140625" style="2" customWidth="1"/>
    <col min="1037" max="1037" width="6.5703125" style="2" customWidth="1"/>
    <col min="1038" max="1038" width="9.140625" style="2" customWidth="1"/>
    <col min="1039" max="1039" width="4.140625" style="2" customWidth="1"/>
    <col min="1040" max="1280" width="9.140625" style="2"/>
    <col min="1281" max="1281" width="49.28515625" style="2" customWidth="1"/>
    <col min="1282" max="1282" width="12.28515625" style="2" customWidth="1"/>
    <col min="1283" max="1283" width="7.5703125" style="2" customWidth="1"/>
    <col min="1284" max="1284" width="9.140625" style="2"/>
    <col min="1285" max="1285" width="13.140625" style="2" customWidth="1"/>
    <col min="1286" max="1286" width="0" style="2" hidden="1" customWidth="1"/>
    <col min="1287" max="1287" width="13.42578125" style="2" customWidth="1"/>
    <col min="1288" max="1289" width="0" style="2" hidden="1" customWidth="1"/>
    <col min="1290" max="1290" width="10.5703125" style="2" customWidth="1"/>
    <col min="1291" max="1291" width="6.140625" style="2" customWidth="1"/>
    <col min="1292" max="1292" width="9.140625" style="2" customWidth="1"/>
    <col min="1293" max="1293" width="6.5703125" style="2" customWidth="1"/>
    <col min="1294" max="1294" width="9.140625" style="2" customWidth="1"/>
    <col min="1295" max="1295" width="4.140625" style="2" customWidth="1"/>
    <col min="1296" max="1536" width="9.140625" style="2"/>
    <col min="1537" max="1537" width="49.28515625" style="2" customWidth="1"/>
    <col min="1538" max="1538" width="12.28515625" style="2" customWidth="1"/>
    <col min="1539" max="1539" width="7.5703125" style="2" customWidth="1"/>
    <col min="1540" max="1540" width="9.140625" style="2"/>
    <col min="1541" max="1541" width="13.140625" style="2" customWidth="1"/>
    <col min="1542" max="1542" width="0" style="2" hidden="1" customWidth="1"/>
    <col min="1543" max="1543" width="13.42578125" style="2" customWidth="1"/>
    <col min="1544" max="1545" width="0" style="2" hidden="1" customWidth="1"/>
    <col min="1546" max="1546" width="10.5703125" style="2" customWidth="1"/>
    <col min="1547" max="1547" width="6.140625" style="2" customWidth="1"/>
    <col min="1548" max="1548" width="9.140625" style="2" customWidth="1"/>
    <col min="1549" max="1549" width="6.5703125" style="2" customWidth="1"/>
    <col min="1550" max="1550" width="9.140625" style="2" customWidth="1"/>
    <col min="1551" max="1551" width="4.140625" style="2" customWidth="1"/>
    <col min="1552" max="1792" width="9.140625" style="2"/>
    <col min="1793" max="1793" width="49.28515625" style="2" customWidth="1"/>
    <col min="1794" max="1794" width="12.28515625" style="2" customWidth="1"/>
    <col min="1795" max="1795" width="7.5703125" style="2" customWidth="1"/>
    <col min="1796" max="1796" width="9.140625" style="2"/>
    <col min="1797" max="1797" width="13.140625" style="2" customWidth="1"/>
    <col min="1798" max="1798" width="0" style="2" hidden="1" customWidth="1"/>
    <col min="1799" max="1799" width="13.42578125" style="2" customWidth="1"/>
    <col min="1800" max="1801" width="0" style="2" hidden="1" customWidth="1"/>
    <col min="1802" max="1802" width="10.5703125" style="2" customWidth="1"/>
    <col min="1803" max="1803" width="6.140625" style="2" customWidth="1"/>
    <col min="1804" max="1804" width="9.140625" style="2" customWidth="1"/>
    <col min="1805" max="1805" width="6.5703125" style="2" customWidth="1"/>
    <col min="1806" max="1806" width="9.140625" style="2" customWidth="1"/>
    <col min="1807" max="1807" width="4.140625" style="2" customWidth="1"/>
    <col min="1808" max="2048" width="9.140625" style="2"/>
    <col min="2049" max="2049" width="49.28515625" style="2" customWidth="1"/>
    <col min="2050" max="2050" width="12.28515625" style="2" customWidth="1"/>
    <col min="2051" max="2051" width="7.5703125" style="2" customWidth="1"/>
    <col min="2052" max="2052" width="9.140625" style="2"/>
    <col min="2053" max="2053" width="13.140625" style="2" customWidth="1"/>
    <col min="2054" max="2054" width="0" style="2" hidden="1" customWidth="1"/>
    <col min="2055" max="2055" width="13.42578125" style="2" customWidth="1"/>
    <col min="2056" max="2057" width="0" style="2" hidden="1" customWidth="1"/>
    <col min="2058" max="2058" width="10.5703125" style="2" customWidth="1"/>
    <col min="2059" max="2059" width="6.140625" style="2" customWidth="1"/>
    <col min="2060" max="2060" width="9.140625" style="2" customWidth="1"/>
    <col min="2061" max="2061" width="6.5703125" style="2" customWidth="1"/>
    <col min="2062" max="2062" width="9.140625" style="2" customWidth="1"/>
    <col min="2063" max="2063" width="4.140625" style="2" customWidth="1"/>
    <col min="2064" max="2304" width="9.140625" style="2"/>
    <col min="2305" max="2305" width="49.28515625" style="2" customWidth="1"/>
    <col min="2306" max="2306" width="12.28515625" style="2" customWidth="1"/>
    <col min="2307" max="2307" width="7.5703125" style="2" customWidth="1"/>
    <col min="2308" max="2308" width="9.140625" style="2"/>
    <col min="2309" max="2309" width="13.140625" style="2" customWidth="1"/>
    <col min="2310" max="2310" width="0" style="2" hidden="1" customWidth="1"/>
    <col min="2311" max="2311" width="13.42578125" style="2" customWidth="1"/>
    <col min="2312" max="2313" width="0" style="2" hidden="1" customWidth="1"/>
    <col min="2314" max="2314" width="10.5703125" style="2" customWidth="1"/>
    <col min="2315" max="2315" width="6.140625" style="2" customWidth="1"/>
    <col min="2316" max="2316" width="9.140625" style="2" customWidth="1"/>
    <col min="2317" max="2317" width="6.5703125" style="2" customWidth="1"/>
    <col min="2318" max="2318" width="9.140625" style="2" customWidth="1"/>
    <col min="2319" max="2319" width="4.140625" style="2" customWidth="1"/>
    <col min="2320" max="2560" width="9.140625" style="2"/>
    <col min="2561" max="2561" width="49.28515625" style="2" customWidth="1"/>
    <col min="2562" max="2562" width="12.28515625" style="2" customWidth="1"/>
    <col min="2563" max="2563" width="7.5703125" style="2" customWidth="1"/>
    <col min="2564" max="2564" width="9.140625" style="2"/>
    <col min="2565" max="2565" width="13.140625" style="2" customWidth="1"/>
    <col min="2566" max="2566" width="0" style="2" hidden="1" customWidth="1"/>
    <col min="2567" max="2567" width="13.42578125" style="2" customWidth="1"/>
    <col min="2568" max="2569" width="0" style="2" hidden="1" customWidth="1"/>
    <col min="2570" max="2570" width="10.5703125" style="2" customWidth="1"/>
    <col min="2571" max="2571" width="6.140625" style="2" customWidth="1"/>
    <col min="2572" max="2572" width="9.140625" style="2" customWidth="1"/>
    <col min="2573" max="2573" width="6.5703125" style="2" customWidth="1"/>
    <col min="2574" max="2574" width="9.140625" style="2" customWidth="1"/>
    <col min="2575" max="2575" width="4.140625" style="2" customWidth="1"/>
    <col min="2576" max="2816" width="9.140625" style="2"/>
    <col min="2817" max="2817" width="49.28515625" style="2" customWidth="1"/>
    <col min="2818" max="2818" width="12.28515625" style="2" customWidth="1"/>
    <col min="2819" max="2819" width="7.5703125" style="2" customWidth="1"/>
    <col min="2820" max="2820" width="9.140625" style="2"/>
    <col min="2821" max="2821" width="13.140625" style="2" customWidth="1"/>
    <col min="2822" max="2822" width="0" style="2" hidden="1" customWidth="1"/>
    <col min="2823" max="2823" width="13.42578125" style="2" customWidth="1"/>
    <col min="2824" max="2825" width="0" style="2" hidden="1" customWidth="1"/>
    <col min="2826" max="2826" width="10.5703125" style="2" customWidth="1"/>
    <col min="2827" max="2827" width="6.140625" style="2" customWidth="1"/>
    <col min="2828" max="2828" width="9.140625" style="2" customWidth="1"/>
    <col min="2829" max="2829" width="6.5703125" style="2" customWidth="1"/>
    <col min="2830" max="2830" width="9.140625" style="2" customWidth="1"/>
    <col min="2831" max="2831" width="4.140625" style="2" customWidth="1"/>
    <col min="2832" max="3072" width="9.140625" style="2"/>
    <col min="3073" max="3073" width="49.28515625" style="2" customWidth="1"/>
    <col min="3074" max="3074" width="12.28515625" style="2" customWidth="1"/>
    <col min="3075" max="3075" width="7.5703125" style="2" customWidth="1"/>
    <col min="3076" max="3076" width="9.140625" style="2"/>
    <col min="3077" max="3077" width="13.140625" style="2" customWidth="1"/>
    <col min="3078" max="3078" width="0" style="2" hidden="1" customWidth="1"/>
    <col min="3079" max="3079" width="13.42578125" style="2" customWidth="1"/>
    <col min="3080" max="3081" width="0" style="2" hidden="1" customWidth="1"/>
    <col min="3082" max="3082" width="10.5703125" style="2" customWidth="1"/>
    <col min="3083" max="3083" width="6.140625" style="2" customWidth="1"/>
    <col min="3084" max="3084" width="9.140625" style="2" customWidth="1"/>
    <col min="3085" max="3085" width="6.5703125" style="2" customWidth="1"/>
    <col min="3086" max="3086" width="9.140625" style="2" customWidth="1"/>
    <col min="3087" max="3087" width="4.140625" style="2" customWidth="1"/>
    <col min="3088" max="3328" width="9.140625" style="2"/>
    <col min="3329" max="3329" width="49.28515625" style="2" customWidth="1"/>
    <col min="3330" max="3330" width="12.28515625" style="2" customWidth="1"/>
    <col min="3331" max="3331" width="7.5703125" style="2" customWidth="1"/>
    <col min="3332" max="3332" width="9.140625" style="2"/>
    <col min="3333" max="3333" width="13.140625" style="2" customWidth="1"/>
    <col min="3334" max="3334" width="0" style="2" hidden="1" customWidth="1"/>
    <col min="3335" max="3335" width="13.42578125" style="2" customWidth="1"/>
    <col min="3336" max="3337" width="0" style="2" hidden="1" customWidth="1"/>
    <col min="3338" max="3338" width="10.5703125" style="2" customWidth="1"/>
    <col min="3339" max="3339" width="6.140625" style="2" customWidth="1"/>
    <col min="3340" max="3340" width="9.140625" style="2" customWidth="1"/>
    <col min="3341" max="3341" width="6.5703125" style="2" customWidth="1"/>
    <col min="3342" max="3342" width="9.140625" style="2" customWidth="1"/>
    <col min="3343" max="3343" width="4.140625" style="2" customWidth="1"/>
    <col min="3344" max="3584" width="9.140625" style="2"/>
    <col min="3585" max="3585" width="49.28515625" style="2" customWidth="1"/>
    <col min="3586" max="3586" width="12.28515625" style="2" customWidth="1"/>
    <col min="3587" max="3587" width="7.5703125" style="2" customWidth="1"/>
    <col min="3588" max="3588" width="9.140625" style="2"/>
    <col min="3589" max="3589" width="13.140625" style="2" customWidth="1"/>
    <col min="3590" max="3590" width="0" style="2" hidden="1" customWidth="1"/>
    <col min="3591" max="3591" width="13.42578125" style="2" customWidth="1"/>
    <col min="3592" max="3593" width="0" style="2" hidden="1" customWidth="1"/>
    <col min="3594" max="3594" width="10.5703125" style="2" customWidth="1"/>
    <col min="3595" max="3595" width="6.140625" style="2" customWidth="1"/>
    <col min="3596" max="3596" width="9.140625" style="2" customWidth="1"/>
    <col min="3597" max="3597" width="6.5703125" style="2" customWidth="1"/>
    <col min="3598" max="3598" width="9.140625" style="2" customWidth="1"/>
    <col min="3599" max="3599" width="4.140625" style="2" customWidth="1"/>
    <col min="3600" max="3840" width="9.140625" style="2"/>
    <col min="3841" max="3841" width="49.28515625" style="2" customWidth="1"/>
    <col min="3842" max="3842" width="12.28515625" style="2" customWidth="1"/>
    <col min="3843" max="3843" width="7.5703125" style="2" customWidth="1"/>
    <col min="3844" max="3844" width="9.140625" style="2"/>
    <col min="3845" max="3845" width="13.140625" style="2" customWidth="1"/>
    <col min="3846" max="3846" width="0" style="2" hidden="1" customWidth="1"/>
    <col min="3847" max="3847" width="13.42578125" style="2" customWidth="1"/>
    <col min="3848" max="3849" width="0" style="2" hidden="1" customWidth="1"/>
    <col min="3850" max="3850" width="10.5703125" style="2" customWidth="1"/>
    <col min="3851" max="3851" width="6.140625" style="2" customWidth="1"/>
    <col min="3852" max="3852" width="9.140625" style="2" customWidth="1"/>
    <col min="3853" max="3853" width="6.5703125" style="2" customWidth="1"/>
    <col min="3854" max="3854" width="9.140625" style="2" customWidth="1"/>
    <col min="3855" max="3855" width="4.140625" style="2" customWidth="1"/>
    <col min="3856" max="4096" width="9.140625" style="2"/>
    <col min="4097" max="4097" width="49.28515625" style="2" customWidth="1"/>
    <col min="4098" max="4098" width="12.28515625" style="2" customWidth="1"/>
    <col min="4099" max="4099" width="7.5703125" style="2" customWidth="1"/>
    <col min="4100" max="4100" width="9.140625" style="2"/>
    <col min="4101" max="4101" width="13.140625" style="2" customWidth="1"/>
    <col min="4102" max="4102" width="0" style="2" hidden="1" customWidth="1"/>
    <col min="4103" max="4103" width="13.42578125" style="2" customWidth="1"/>
    <col min="4104" max="4105" width="0" style="2" hidden="1" customWidth="1"/>
    <col min="4106" max="4106" width="10.5703125" style="2" customWidth="1"/>
    <col min="4107" max="4107" width="6.140625" style="2" customWidth="1"/>
    <col min="4108" max="4108" width="9.140625" style="2" customWidth="1"/>
    <col min="4109" max="4109" width="6.5703125" style="2" customWidth="1"/>
    <col min="4110" max="4110" width="9.140625" style="2" customWidth="1"/>
    <col min="4111" max="4111" width="4.140625" style="2" customWidth="1"/>
    <col min="4112" max="4352" width="9.140625" style="2"/>
    <col min="4353" max="4353" width="49.28515625" style="2" customWidth="1"/>
    <col min="4354" max="4354" width="12.28515625" style="2" customWidth="1"/>
    <col min="4355" max="4355" width="7.5703125" style="2" customWidth="1"/>
    <col min="4356" max="4356" width="9.140625" style="2"/>
    <col min="4357" max="4357" width="13.140625" style="2" customWidth="1"/>
    <col min="4358" max="4358" width="0" style="2" hidden="1" customWidth="1"/>
    <col min="4359" max="4359" width="13.42578125" style="2" customWidth="1"/>
    <col min="4360" max="4361" width="0" style="2" hidden="1" customWidth="1"/>
    <col min="4362" max="4362" width="10.5703125" style="2" customWidth="1"/>
    <col min="4363" max="4363" width="6.140625" style="2" customWidth="1"/>
    <col min="4364" max="4364" width="9.140625" style="2" customWidth="1"/>
    <col min="4365" max="4365" width="6.5703125" style="2" customWidth="1"/>
    <col min="4366" max="4366" width="9.140625" style="2" customWidth="1"/>
    <col min="4367" max="4367" width="4.140625" style="2" customWidth="1"/>
    <col min="4368" max="4608" width="9.140625" style="2"/>
    <col min="4609" max="4609" width="49.28515625" style="2" customWidth="1"/>
    <col min="4610" max="4610" width="12.28515625" style="2" customWidth="1"/>
    <col min="4611" max="4611" width="7.5703125" style="2" customWidth="1"/>
    <col min="4612" max="4612" width="9.140625" style="2"/>
    <col min="4613" max="4613" width="13.140625" style="2" customWidth="1"/>
    <col min="4614" max="4614" width="0" style="2" hidden="1" customWidth="1"/>
    <col min="4615" max="4615" width="13.42578125" style="2" customWidth="1"/>
    <col min="4616" max="4617" width="0" style="2" hidden="1" customWidth="1"/>
    <col min="4618" max="4618" width="10.5703125" style="2" customWidth="1"/>
    <col min="4619" max="4619" width="6.140625" style="2" customWidth="1"/>
    <col min="4620" max="4620" width="9.140625" style="2" customWidth="1"/>
    <col min="4621" max="4621" width="6.5703125" style="2" customWidth="1"/>
    <col min="4622" max="4622" width="9.140625" style="2" customWidth="1"/>
    <col min="4623" max="4623" width="4.140625" style="2" customWidth="1"/>
    <col min="4624" max="4864" width="9.140625" style="2"/>
    <col min="4865" max="4865" width="49.28515625" style="2" customWidth="1"/>
    <col min="4866" max="4866" width="12.28515625" style="2" customWidth="1"/>
    <col min="4867" max="4867" width="7.5703125" style="2" customWidth="1"/>
    <col min="4868" max="4868" width="9.140625" style="2"/>
    <col min="4869" max="4869" width="13.140625" style="2" customWidth="1"/>
    <col min="4870" max="4870" width="0" style="2" hidden="1" customWidth="1"/>
    <col min="4871" max="4871" width="13.42578125" style="2" customWidth="1"/>
    <col min="4872" max="4873" width="0" style="2" hidden="1" customWidth="1"/>
    <col min="4874" max="4874" width="10.5703125" style="2" customWidth="1"/>
    <col min="4875" max="4875" width="6.140625" style="2" customWidth="1"/>
    <col min="4876" max="4876" width="9.140625" style="2" customWidth="1"/>
    <col min="4877" max="4877" width="6.5703125" style="2" customWidth="1"/>
    <col min="4878" max="4878" width="9.140625" style="2" customWidth="1"/>
    <col min="4879" max="4879" width="4.140625" style="2" customWidth="1"/>
    <col min="4880" max="5120" width="9.140625" style="2"/>
    <col min="5121" max="5121" width="49.28515625" style="2" customWidth="1"/>
    <col min="5122" max="5122" width="12.28515625" style="2" customWidth="1"/>
    <col min="5123" max="5123" width="7.5703125" style="2" customWidth="1"/>
    <col min="5124" max="5124" width="9.140625" style="2"/>
    <col min="5125" max="5125" width="13.140625" style="2" customWidth="1"/>
    <col min="5126" max="5126" width="0" style="2" hidden="1" customWidth="1"/>
    <col min="5127" max="5127" width="13.42578125" style="2" customWidth="1"/>
    <col min="5128" max="5129" width="0" style="2" hidden="1" customWidth="1"/>
    <col min="5130" max="5130" width="10.5703125" style="2" customWidth="1"/>
    <col min="5131" max="5131" width="6.140625" style="2" customWidth="1"/>
    <col min="5132" max="5132" width="9.140625" style="2" customWidth="1"/>
    <col min="5133" max="5133" width="6.5703125" style="2" customWidth="1"/>
    <col min="5134" max="5134" width="9.140625" style="2" customWidth="1"/>
    <col min="5135" max="5135" width="4.140625" style="2" customWidth="1"/>
    <col min="5136" max="5376" width="9.140625" style="2"/>
    <col min="5377" max="5377" width="49.28515625" style="2" customWidth="1"/>
    <col min="5378" max="5378" width="12.28515625" style="2" customWidth="1"/>
    <col min="5379" max="5379" width="7.5703125" style="2" customWidth="1"/>
    <col min="5380" max="5380" width="9.140625" style="2"/>
    <col min="5381" max="5381" width="13.140625" style="2" customWidth="1"/>
    <col min="5382" max="5382" width="0" style="2" hidden="1" customWidth="1"/>
    <col min="5383" max="5383" width="13.42578125" style="2" customWidth="1"/>
    <col min="5384" max="5385" width="0" style="2" hidden="1" customWidth="1"/>
    <col min="5386" max="5386" width="10.5703125" style="2" customWidth="1"/>
    <col min="5387" max="5387" width="6.140625" style="2" customWidth="1"/>
    <col min="5388" max="5388" width="9.140625" style="2" customWidth="1"/>
    <col min="5389" max="5389" width="6.5703125" style="2" customWidth="1"/>
    <col min="5390" max="5390" width="9.140625" style="2" customWidth="1"/>
    <col min="5391" max="5391" width="4.140625" style="2" customWidth="1"/>
    <col min="5392" max="5632" width="9.140625" style="2"/>
    <col min="5633" max="5633" width="49.28515625" style="2" customWidth="1"/>
    <col min="5634" max="5634" width="12.28515625" style="2" customWidth="1"/>
    <col min="5635" max="5635" width="7.5703125" style="2" customWidth="1"/>
    <col min="5636" max="5636" width="9.140625" style="2"/>
    <col min="5637" max="5637" width="13.140625" style="2" customWidth="1"/>
    <col min="5638" max="5638" width="0" style="2" hidden="1" customWidth="1"/>
    <col min="5639" max="5639" width="13.42578125" style="2" customWidth="1"/>
    <col min="5640" max="5641" width="0" style="2" hidden="1" customWidth="1"/>
    <col min="5642" max="5642" width="10.5703125" style="2" customWidth="1"/>
    <col min="5643" max="5643" width="6.140625" style="2" customWidth="1"/>
    <col min="5644" max="5644" width="9.140625" style="2" customWidth="1"/>
    <col min="5645" max="5645" width="6.5703125" style="2" customWidth="1"/>
    <col min="5646" max="5646" width="9.140625" style="2" customWidth="1"/>
    <col min="5647" max="5647" width="4.140625" style="2" customWidth="1"/>
    <col min="5648" max="5888" width="9.140625" style="2"/>
    <col min="5889" max="5889" width="49.28515625" style="2" customWidth="1"/>
    <col min="5890" max="5890" width="12.28515625" style="2" customWidth="1"/>
    <col min="5891" max="5891" width="7.5703125" style="2" customWidth="1"/>
    <col min="5892" max="5892" width="9.140625" style="2"/>
    <col min="5893" max="5893" width="13.140625" style="2" customWidth="1"/>
    <col min="5894" max="5894" width="0" style="2" hidden="1" customWidth="1"/>
    <col min="5895" max="5895" width="13.42578125" style="2" customWidth="1"/>
    <col min="5896" max="5897" width="0" style="2" hidden="1" customWidth="1"/>
    <col min="5898" max="5898" width="10.5703125" style="2" customWidth="1"/>
    <col min="5899" max="5899" width="6.140625" style="2" customWidth="1"/>
    <col min="5900" max="5900" width="9.140625" style="2" customWidth="1"/>
    <col min="5901" max="5901" width="6.5703125" style="2" customWidth="1"/>
    <col min="5902" max="5902" width="9.140625" style="2" customWidth="1"/>
    <col min="5903" max="5903" width="4.140625" style="2" customWidth="1"/>
    <col min="5904" max="6144" width="9.140625" style="2"/>
    <col min="6145" max="6145" width="49.28515625" style="2" customWidth="1"/>
    <col min="6146" max="6146" width="12.28515625" style="2" customWidth="1"/>
    <col min="6147" max="6147" width="7.5703125" style="2" customWidth="1"/>
    <col min="6148" max="6148" width="9.140625" style="2"/>
    <col min="6149" max="6149" width="13.140625" style="2" customWidth="1"/>
    <col min="6150" max="6150" width="0" style="2" hidden="1" customWidth="1"/>
    <col min="6151" max="6151" width="13.42578125" style="2" customWidth="1"/>
    <col min="6152" max="6153" width="0" style="2" hidden="1" customWidth="1"/>
    <col min="6154" max="6154" width="10.5703125" style="2" customWidth="1"/>
    <col min="6155" max="6155" width="6.140625" style="2" customWidth="1"/>
    <col min="6156" max="6156" width="9.140625" style="2" customWidth="1"/>
    <col min="6157" max="6157" width="6.5703125" style="2" customWidth="1"/>
    <col min="6158" max="6158" width="9.140625" style="2" customWidth="1"/>
    <col min="6159" max="6159" width="4.140625" style="2" customWidth="1"/>
    <col min="6160" max="6400" width="9.140625" style="2"/>
    <col min="6401" max="6401" width="49.28515625" style="2" customWidth="1"/>
    <col min="6402" max="6402" width="12.28515625" style="2" customWidth="1"/>
    <col min="6403" max="6403" width="7.5703125" style="2" customWidth="1"/>
    <col min="6404" max="6404" width="9.140625" style="2"/>
    <col min="6405" max="6405" width="13.140625" style="2" customWidth="1"/>
    <col min="6406" max="6406" width="0" style="2" hidden="1" customWidth="1"/>
    <col min="6407" max="6407" width="13.42578125" style="2" customWidth="1"/>
    <col min="6408" max="6409" width="0" style="2" hidden="1" customWidth="1"/>
    <col min="6410" max="6410" width="10.5703125" style="2" customWidth="1"/>
    <col min="6411" max="6411" width="6.140625" style="2" customWidth="1"/>
    <col min="6412" max="6412" width="9.140625" style="2" customWidth="1"/>
    <col min="6413" max="6413" width="6.5703125" style="2" customWidth="1"/>
    <col min="6414" max="6414" width="9.140625" style="2" customWidth="1"/>
    <col min="6415" max="6415" width="4.140625" style="2" customWidth="1"/>
    <col min="6416" max="6656" width="9.140625" style="2"/>
    <col min="6657" max="6657" width="49.28515625" style="2" customWidth="1"/>
    <col min="6658" max="6658" width="12.28515625" style="2" customWidth="1"/>
    <col min="6659" max="6659" width="7.5703125" style="2" customWidth="1"/>
    <col min="6660" max="6660" width="9.140625" style="2"/>
    <col min="6661" max="6661" width="13.140625" style="2" customWidth="1"/>
    <col min="6662" max="6662" width="0" style="2" hidden="1" customWidth="1"/>
    <col min="6663" max="6663" width="13.42578125" style="2" customWidth="1"/>
    <col min="6664" max="6665" width="0" style="2" hidden="1" customWidth="1"/>
    <col min="6666" max="6666" width="10.5703125" style="2" customWidth="1"/>
    <col min="6667" max="6667" width="6.140625" style="2" customWidth="1"/>
    <col min="6668" max="6668" width="9.140625" style="2" customWidth="1"/>
    <col min="6669" max="6669" width="6.5703125" style="2" customWidth="1"/>
    <col min="6670" max="6670" width="9.140625" style="2" customWidth="1"/>
    <col min="6671" max="6671" width="4.140625" style="2" customWidth="1"/>
    <col min="6672" max="6912" width="9.140625" style="2"/>
    <col min="6913" max="6913" width="49.28515625" style="2" customWidth="1"/>
    <col min="6914" max="6914" width="12.28515625" style="2" customWidth="1"/>
    <col min="6915" max="6915" width="7.5703125" style="2" customWidth="1"/>
    <col min="6916" max="6916" width="9.140625" style="2"/>
    <col min="6917" max="6917" width="13.140625" style="2" customWidth="1"/>
    <col min="6918" max="6918" width="0" style="2" hidden="1" customWidth="1"/>
    <col min="6919" max="6919" width="13.42578125" style="2" customWidth="1"/>
    <col min="6920" max="6921" width="0" style="2" hidden="1" customWidth="1"/>
    <col min="6922" max="6922" width="10.5703125" style="2" customWidth="1"/>
    <col min="6923" max="6923" width="6.140625" style="2" customWidth="1"/>
    <col min="6924" max="6924" width="9.140625" style="2" customWidth="1"/>
    <col min="6925" max="6925" width="6.5703125" style="2" customWidth="1"/>
    <col min="6926" max="6926" width="9.140625" style="2" customWidth="1"/>
    <col min="6927" max="6927" width="4.140625" style="2" customWidth="1"/>
    <col min="6928" max="7168" width="9.140625" style="2"/>
    <col min="7169" max="7169" width="49.28515625" style="2" customWidth="1"/>
    <col min="7170" max="7170" width="12.28515625" style="2" customWidth="1"/>
    <col min="7171" max="7171" width="7.5703125" style="2" customWidth="1"/>
    <col min="7172" max="7172" width="9.140625" style="2"/>
    <col min="7173" max="7173" width="13.140625" style="2" customWidth="1"/>
    <col min="7174" max="7174" width="0" style="2" hidden="1" customWidth="1"/>
    <col min="7175" max="7175" width="13.42578125" style="2" customWidth="1"/>
    <col min="7176" max="7177" width="0" style="2" hidden="1" customWidth="1"/>
    <col min="7178" max="7178" width="10.5703125" style="2" customWidth="1"/>
    <col min="7179" max="7179" width="6.140625" style="2" customWidth="1"/>
    <col min="7180" max="7180" width="9.140625" style="2" customWidth="1"/>
    <col min="7181" max="7181" width="6.5703125" style="2" customWidth="1"/>
    <col min="7182" max="7182" width="9.140625" style="2" customWidth="1"/>
    <col min="7183" max="7183" width="4.140625" style="2" customWidth="1"/>
    <col min="7184" max="7424" width="9.140625" style="2"/>
    <col min="7425" max="7425" width="49.28515625" style="2" customWidth="1"/>
    <col min="7426" max="7426" width="12.28515625" style="2" customWidth="1"/>
    <col min="7427" max="7427" width="7.5703125" style="2" customWidth="1"/>
    <col min="7428" max="7428" width="9.140625" style="2"/>
    <col min="7429" max="7429" width="13.140625" style="2" customWidth="1"/>
    <col min="7430" max="7430" width="0" style="2" hidden="1" customWidth="1"/>
    <col min="7431" max="7431" width="13.42578125" style="2" customWidth="1"/>
    <col min="7432" max="7433" width="0" style="2" hidden="1" customWidth="1"/>
    <col min="7434" max="7434" width="10.5703125" style="2" customWidth="1"/>
    <col min="7435" max="7435" width="6.140625" style="2" customWidth="1"/>
    <col min="7436" max="7436" width="9.140625" style="2" customWidth="1"/>
    <col min="7437" max="7437" width="6.5703125" style="2" customWidth="1"/>
    <col min="7438" max="7438" width="9.140625" style="2" customWidth="1"/>
    <col min="7439" max="7439" width="4.140625" style="2" customWidth="1"/>
    <col min="7440" max="7680" width="9.140625" style="2"/>
    <col min="7681" max="7681" width="49.28515625" style="2" customWidth="1"/>
    <col min="7682" max="7682" width="12.28515625" style="2" customWidth="1"/>
    <col min="7683" max="7683" width="7.5703125" style="2" customWidth="1"/>
    <col min="7684" max="7684" width="9.140625" style="2"/>
    <col min="7685" max="7685" width="13.140625" style="2" customWidth="1"/>
    <col min="7686" max="7686" width="0" style="2" hidden="1" customWidth="1"/>
    <col min="7687" max="7687" width="13.42578125" style="2" customWidth="1"/>
    <col min="7688" max="7689" width="0" style="2" hidden="1" customWidth="1"/>
    <col min="7690" max="7690" width="10.5703125" style="2" customWidth="1"/>
    <col min="7691" max="7691" width="6.140625" style="2" customWidth="1"/>
    <col min="7692" max="7692" width="9.140625" style="2" customWidth="1"/>
    <col min="7693" max="7693" width="6.5703125" style="2" customWidth="1"/>
    <col min="7694" max="7694" width="9.140625" style="2" customWidth="1"/>
    <col min="7695" max="7695" width="4.140625" style="2" customWidth="1"/>
    <col min="7696" max="7936" width="9.140625" style="2"/>
    <col min="7937" max="7937" width="49.28515625" style="2" customWidth="1"/>
    <col min="7938" max="7938" width="12.28515625" style="2" customWidth="1"/>
    <col min="7939" max="7939" width="7.5703125" style="2" customWidth="1"/>
    <col min="7940" max="7940" width="9.140625" style="2"/>
    <col min="7941" max="7941" width="13.140625" style="2" customWidth="1"/>
    <col min="7942" max="7942" width="0" style="2" hidden="1" customWidth="1"/>
    <col min="7943" max="7943" width="13.42578125" style="2" customWidth="1"/>
    <col min="7944" max="7945" width="0" style="2" hidden="1" customWidth="1"/>
    <col min="7946" max="7946" width="10.5703125" style="2" customWidth="1"/>
    <col min="7947" max="7947" width="6.140625" style="2" customWidth="1"/>
    <col min="7948" max="7948" width="9.140625" style="2" customWidth="1"/>
    <col min="7949" max="7949" width="6.5703125" style="2" customWidth="1"/>
    <col min="7950" max="7950" width="9.140625" style="2" customWidth="1"/>
    <col min="7951" max="7951" width="4.140625" style="2" customWidth="1"/>
    <col min="7952" max="8192" width="9.140625" style="2"/>
    <col min="8193" max="8193" width="49.28515625" style="2" customWidth="1"/>
    <col min="8194" max="8194" width="12.28515625" style="2" customWidth="1"/>
    <col min="8195" max="8195" width="7.5703125" style="2" customWidth="1"/>
    <col min="8196" max="8196" width="9.140625" style="2"/>
    <col min="8197" max="8197" width="13.140625" style="2" customWidth="1"/>
    <col min="8198" max="8198" width="0" style="2" hidden="1" customWidth="1"/>
    <col min="8199" max="8199" width="13.42578125" style="2" customWidth="1"/>
    <col min="8200" max="8201" width="0" style="2" hidden="1" customWidth="1"/>
    <col min="8202" max="8202" width="10.5703125" style="2" customWidth="1"/>
    <col min="8203" max="8203" width="6.140625" style="2" customWidth="1"/>
    <col min="8204" max="8204" width="9.140625" style="2" customWidth="1"/>
    <col min="8205" max="8205" width="6.5703125" style="2" customWidth="1"/>
    <col min="8206" max="8206" width="9.140625" style="2" customWidth="1"/>
    <col min="8207" max="8207" width="4.140625" style="2" customWidth="1"/>
    <col min="8208" max="8448" width="9.140625" style="2"/>
    <col min="8449" max="8449" width="49.28515625" style="2" customWidth="1"/>
    <col min="8450" max="8450" width="12.28515625" style="2" customWidth="1"/>
    <col min="8451" max="8451" width="7.5703125" style="2" customWidth="1"/>
    <col min="8452" max="8452" width="9.140625" style="2"/>
    <col min="8453" max="8453" width="13.140625" style="2" customWidth="1"/>
    <col min="8454" max="8454" width="0" style="2" hidden="1" customWidth="1"/>
    <col min="8455" max="8455" width="13.42578125" style="2" customWidth="1"/>
    <col min="8456" max="8457" width="0" style="2" hidden="1" customWidth="1"/>
    <col min="8458" max="8458" width="10.5703125" style="2" customWidth="1"/>
    <col min="8459" max="8459" width="6.140625" style="2" customWidth="1"/>
    <col min="8460" max="8460" width="9.140625" style="2" customWidth="1"/>
    <col min="8461" max="8461" width="6.5703125" style="2" customWidth="1"/>
    <col min="8462" max="8462" width="9.140625" style="2" customWidth="1"/>
    <col min="8463" max="8463" width="4.140625" style="2" customWidth="1"/>
    <col min="8464" max="8704" width="9.140625" style="2"/>
    <col min="8705" max="8705" width="49.28515625" style="2" customWidth="1"/>
    <col min="8706" max="8706" width="12.28515625" style="2" customWidth="1"/>
    <col min="8707" max="8707" width="7.5703125" style="2" customWidth="1"/>
    <col min="8708" max="8708" width="9.140625" style="2"/>
    <col min="8709" max="8709" width="13.140625" style="2" customWidth="1"/>
    <col min="8710" max="8710" width="0" style="2" hidden="1" customWidth="1"/>
    <col min="8711" max="8711" width="13.42578125" style="2" customWidth="1"/>
    <col min="8712" max="8713" width="0" style="2" hidden="1" customWidth="1"/>
    <col min="8714" max="8714" width="10.5703125" style="2" customWidth="1"/>
    <col min="8715" max="8715" width="6.140625" style="2" customWidth="1"/>
    <col min="8716" max="8716" width="9.140625" style="2" customWidth="1"/>
    <col min="8717" max="8717" width="6.5703125" style="2" customWidth="1"/>
    <col min="8718" max="8718" width="9.140625" style="2" customWidth="1"/>
    <col min="8719" max="8719" width="4.140625" style="2" customWidth="1"/>
    <col min="8720" max="8960" width="9.140625" style="2"/>
    <col min="8961" max="8961" width="49.28515625" style="2" customWidth="1"/>
    <col min="8962" max="8962" width="12.28515625" style="2" customWidth="1"/>
    <col min="8963" max="8963" width="7.5703125" style="2" customWidth="1"/>
    <col min="8964" max="8964" width="9.140625" style="2"/>
    <col min="8965" max="8965" width="13.140625" style="2" customWidth="1"/>
    <col min="8966" max="8966" width="0" style="2" hidden="1" customWidth="1"/>
    <col min="8967" max="8967" width="13.42578125" style="2" customWidth="1"/>
    <col min="8968" max="8969" width="0" style="2" hidden="1" customWidth="1"/>
    <col min="8970" max="8970" width="10.5703125" style="2" customWidth="1"/>
    <col min="8971" max="8971" width="6.140625" style="2" customWidth="1"/>
    <col min="8972" max="8972" width="9.140625" style="2" customWidth="1"/>
    <col min="8973" max="8973" width="6.5703125" style="2" customWidth="1"/>
    <col min="8974" max="8974" width="9.140625" style="2" customWidth="1"/>
    <col min="8975" max="8975" width="4.140625" style="2" customWidth="1"/>
    <col min="8976" max="9216" width="9.140625" style="2"/>
    <col min="9217" max="9217" width="49.28515625" style="2" customWidth="1"/>
    <col min="9218" max="9218" width="12.28515625" style="2" customWidth="1"/>
    <col min="9219" max="9219" width="7.5703125" style="2" customWidth="1"/>
    <col min="9220" max="9220" width="9.140625" style="2"/>
    <col min="9221" max="9221" width="13.140625" style="2" customWidth="1"/>
    <col min="9222" max="9222" width="0" style="2" hidden="1" customWidth="1"/>
    <col min="9223" max="9223" width="13.42578125" style="2" customWidth="1"/>
    <col min="9224" max="9225" width="0" style="2" hidden="1" customWidth="1"/>
    <col min="9226" max="9226" width="10.5703125" style="2" customWidth="1"/>
    <col min="9227" max="9227" width="6.140625" style="2" customWidth="1"/>
    <col min="9228" max="9228" width="9.140625" style="2" customWidth="1"/>
    <col min="9229" max="9229" width="6.5703125" style="2" customWidth="1"/>
    <col min="9230" max="9230" width="9.140625" style="2" customWidth="1"/>
    <col min="9231" max="9231" width="4.140625" style="2" customWidth="1"/>
    <col min="9232" max="9472" width="9.140625" style="2"/>
    <col min="9473" max="9473" width="49.28515625" style="2" customWidth="1"/>
    <col min="9474" max="9474" width="12.28515625" style="2" customWidth="1"/>
    <col min="9475" max="9475" width="7.5703125" style="2" customWidth="1"/>
    <col min="9476" max="9476" width="9.140625" style="2"/>
    <col min="9477" max="9477" width="13.140625" style="2" customWidth="1"/>
    <col min="9478" max="9478" width="0" style="2" hidden="1" customWidth="1"/>
    <col min="9479" max="9479" width="13.42578125" style="2" customWidth="1"/>
    <col min="9480" max="9481" width="0" style="2" hidden="1" customWidth="1"/>
    <col min="9482" max="9482" width="10.5703125" style="2" customWidth="1"/>
    <col min="9483" max="9483" width="6.140625" style="2" customWidth="1"/>
    <col min="9484" max="9484" width="9.140625" style="2" customWidth="1"/>
    <col min="9485" max="9485" width="6.5703125" style="2" customWidth="1"/>
    <col min="9486" max="9486" width="9.140625" style="2" customWidth="1"/>
    <col min="9487" max="9487" width="4.140625" style="2" customWidth="1"/>
    <col min="9488" max="9728" width="9.140625" style="2"/>
    <col min="9729" max="9729" width="49.28515625" style="2" customWidth="1"/>
    <col min="9730" max="9730" width="12.28515625" style="2" customWidth="1"/>
    <col min="9731" max="9731" width="7.5703125" style="2" customWidth="1"/>
    <col min="9732" max="9732" width="9.140625" style="2"/>
    <col min="9733" max="9733" width="13.140625" style="2" customWidth="1"/>
    <col min="9734" max="9734" width="0" style="2" hidden="1" customWidth="1"/>
    <col min="9735" max="9735" width="13.42578125" style="2" customWidth="1"/>
    <col min="9736" max="9737" width="0" style="2" hidden="1" customWidth="1"/>
    <col min="9738" max="9738" width="10.5703125" style="2" customWidth="1"/>
    <col min="9739" max="9739" width="6.140625" style="2" customWidth="1"/>
    <col min="9740" max="9740" width="9.140625" style="2" customWidth="1"/>
    <col min="9741" max="9741" width="6.5703125" style="2" customWidth="1"/>
    <col min="9742" max="9742" width="9.140625" style="2" customWidth="1"/>
    <col min="9743" max="9743" width="4.140625" style="2" customWidth="1"/>
    <col min="9744" max="9984" width="9.140625" style="2"/>
    <col min="9985" max="9985" width="49.28515625" style="2" customWidth="1"/>
    <col min="9986" max="9986" width="12.28515625" style="2" customWidth="1"/>
    <col min="9987" max="9987" width="7.5703125" style="2" customWidth="1"/>
    <col min="9988" max="9988" width="9.140625" style="2"/>
    <col min="9989" max="9989" width="13.140625" style="2" customWidth="1"/>
    <col min="9990" max="9990" width="0" style="2" hidden="1" customWidth="1"/>
    <col min="9991" max="9991" width="13.42578125" style="2" customWidth="1"/>
    <col min="9992" max="9993" width="0" style="2" hidden="1" customWidth="1"/>
    <col min="9994" max="9994" width="10.5703125" style="2" customWidth="1"/>
    <col min="9995" max="9995" width="6.140625" style="2" customWidth="1"/>
    <col min="9996" max="9996" width="9.140625" style="2" customWidth="1"/>
    <col min="9997" max="9997" width="6.5703125" style="2" customWidth="1"/>
    <col min="9998" max="9998" width="9.140625" style="2" customWidth="1"/>
    <col min="9999" max="9999" width="4.140625" style="2" customWidth="1"/>
    <col min="10000" max="10240" width="9.140625" style="2"/>
    <col min="10241" max="10241" width="49.28515625" style="2" customWidth="1"/>
    <col min="10242" max="10242" width="12.28515625" style="2" customWidth="1"/>
    <col min="10243" max="10243" width="7.5703125" style="2" customWidth="1"/>
    <col min="10244" max="10244" width="9.140625" style="2"/>
    <col min="10245" max="10245" width="13.140625" style="2" customWidth="1"/>
    <col min="10246" max="10246" width="0" style="2" hidden="1" customWidth="1"/>
    <col min="10247" max="10247" width="13.42578125" style="2" customWidth="1"/>
    <col min="10248" max="10249" width="0" style="2" hidden="1" customWidth="1"/>
    <col min="10250" max="10250" width="10.5703125" style="2" customWidth="1"/>
    <col min="10251" max="10251" width="6.140625" style="2" customWidth="1"/>
    <col min="10252" max="10252" width="9.140625" style="2" customWidth="1"/>
    <col min="10253" max="10253" width="6.5703125" style="2" customWidth="1"/>
    <col min="10254" max="10254" width="9.140625" style="2" customWidth="1"/>
    <col min="10255" max="10255" width="4.140625" style="2" customWidth="1"/>
    <col min="10256" max="10496" width="9.140625" style="2"/>
    <col min="10497" max="10497" width="49.28515625" style="2" customWidth="1"/>
    <col min="10498" max="10498" width="12.28515625" style="2" customWidth="1"/>
    <col min="10499" max="10499" width="7.5703125" style="2" customWidth="1"/>
    <col min="10500" max="10500" width="9.140625" style="2"/>
    <col min="10501" max="10501" width="13.140625" style="2" customWidth="1"/>
    <col min="10502" max="10502" width="0" style="2" hidden="1" customWidth="1"/>
    <col min="10503" max="10503" width="13.42578125" style="2" customWidth="1"/>
    <col min="10504" max="10505" width="0" style="2" hidden="1" customWidth="1"/>
    <col min="10506" max="10506" width="10.5703125" style="2" customWidth="1"/>
    <col min="10507" max="10507" width="6.140625" style="2" customWidth="1"/>
    <col min="10508" max="10508" width="9.140625" style="2" customWidth="1"/>
    <col min="10509" max="10509" width="6.5703125" style="2" customWidth="1"/>
    <col min="10510" max="10510" width="9.140625" style="2" customWidth="1"/>
    <col min="10511" max="10511" width="4.140625" style="2" customWidth="1"/>
    <col min="10512" max="10752" width="9.140625" style="2"/>
    <col min="10753" max="10753" width="49.28515625" style="2" customWidth="1"/>
    <col min="10754" max="10754" width="12.28515625" style="2" customWidth="1"/>
    <col min="10755" max="10755" width="7.5703125" style="2" customWidth="1"/>
    <col min="10756" max="10756" width="9.140625" style="2"/>
    <col min="10757" max="10757" width="13.140625" style="2" customWidth="1"/>
    <col min="10758" max="10758" width="0" style="2" hidden="1" customWidth="1"/>
    <col min="10759" max="10759" width="13.42578125" style="2" customWidth="1"/>
    <col min="10760" max="10761" width="0" style="2" hidden="1" customWidth="1"/>
    <col min="10762" max="10762" width="10.5703125" style="2" customWidth="1"/>
    <col min="10763" max="10763" width="6.140625" style="2" customWidth="1"/>
    <col min="10764" max="10764" width="9.140625" style="2" customWidth="1"/>
    <col min="10765" max="10765" width="6.5703125" style="2" customWidth="1"/>
    <col min="10766" max="10766" width="9.140625" style="2" customWidth="1"/>
    <col min="10767" max="10767" width="4.140625" style="2" customWidth="1"/>
    <col min="10768" max="11008" width="9.140625" style="2"/>
    <col min="11009" max="11009" width="49.28515625" style="2" customWidth="1"/>
    <col min="11010" max="11010" width="12.28515625" style="2" customWidth="1"/>
    <col min="11011" max="11011" width="7.5703125" style="2" customWidth="1"/>
    <col min="11012" max="11012" width="9.140625" style="2"/>
    <col min="11013" max="11013" width="13.140625" style="2" customWidth="1"/>
    <col min="11014" max="11014" width="0" style="2" hidden="1" customWidth="1"/>
    <col min="11015" max="11015" width="13.42578125" style="2" customWidth="1"/>
    <col min="11016" max="11017" width="0" style="2" hidden="1" customWidth="1"/>
    <col min="11018" max="11018" width="10.5703125" style="2" customWidth="1"/>
    <col min="11019" max="11019" width="6.140625" style="2" customWidth="1"/>
    <col min="11020" max="11020" width="9.140625" style="2" customWidth="1"/>
    <col min="11021" max="11021" width="6.5703125" style="2" customWidth="1"/>
    <col min="11022" max="11022" width="9.140625" style="2" customWidth="1"/>
    <col min="11023" max="11023" width="4.140625" style="2" customWidth="1"/>
    <col min="11024" max="11264" width="9.140625" style="2"/>
    <col min="11265" max="11265" width="49.28515625" style="2" customWidth="1"/>
    <col min="11266" max="11266" width="12.28515625" style="2" customWidth="1"/>
    <col min="11267" max="11267" width="7.5703125" style="2" customWidth="1"/>
    <col min="11268" max="11268" width="9.140625" style="2"/>
    <col min="11269" max="11269" width="13.140625" style="2" customWidth="1"/>
    <col min="11270" max="11270" width="0" style="2" hidden="1" customWidth="1"/>
    <col min="11271" max="11271" width="13.42578125" style="2" customWidth="1"/>
    <col min="11272" max="11273" width="0" style="2" hidden="1" customWidth="1"/>
    <col min="11274" max="11274" width="10.5703125" style="2" customWidth="1"/>
    <col min="11275" max="11275" width="6.140625" style="2" customWidth="1"/>
    <col min="11276" max="11276" width="9.140625" style="2" customWidth="1"/>
    <col min="11277" max="11277" width="6.5703125" style="2" customWidth="1"/>
    <col min="11278" max="11278" width="9.140625" style="2" customWidth="1"/>
    <col min="11279" max="11279" width="4.140625" style="2" customWidth="1"/>
    <col min="11280" max="11520" width="9.140625" style="2"/>
    <col min="11521" max="11521" width="49.28515625" style="2" customWidth="1"/>
    <col min="11522" max="11522" width="12.28515625" style="2" customWidth="1"/>
    <col min="11523" max="11523" width="7.5703125" style="2" customWidth="1"/>
    <col min="11524" max="11524" width="9.140625" style="2"/>
    <col min="11525" max="11525" width="13.140625" style="2" customWidth="1"/>
    <col min="11526" max="11526" width="0" style="2" hidden="1" customWidth="1"/>
    <col min="11527" max="11527" width="13.42578125" style="2" customWidth="1"/>
    <col min="11528" max="11529" width="0" style="2" hidden="1" customWidth="1"/>
    <col min="11530" max="11530" width="10.5703125" style="2" customWidth="1"/>
    <col min="11531" max="11531" width="6.140625" style="2" customWidth="1"/>
    <col min="11532" max="11532" width="9.140625" style="2" customWidth="1"/>
    <col min="11533" max="11533" width="6.5703125" style="2" customWidth="1"/>
    <col min="11534" max="11534" width="9.140625" style="2" customWidth="1"/>
    <col min="11535" max="11535" width="4.140625" style="2" customWidth="1"/>
    <col min="11536" max="11776" width="9.140625" style="2"/>
    <col min="11777" max="11777" width="49.28515625" style="2" customWidth="1"/>
    <col min="11778" max="11778" width="12.28515625" style="2" customWidth="1"/>
    <col min="11779" max="11779" width="7.5703125" style="2" customWidth="1"/>
    <col min="11780" max="11780" width="9.140625" style="2"/>
    <col min="11781" max="11781" width="13.140625" style="2" customWidth="1"/>
    <col min="11782" max="11782" width="0" style="2" hidden="1" customWidth="1"/>
    <col min="11783" max="11783" width="13.42578125" style="2" customWidth="1"/>
    <col min="11784" max="11785" width="0" style="2" hidden="1" customWidth="1"/>
    <col min="11786" max="11786" width="10.5703125" style="2" customWidth="1"/>
    <col min="11787" max="11787" width="6.140625" style="2" customWidth="1"/>
    <col min="11788" max="11788" width="9.140625" style="2" customWidth="1"/>
    <col min="11789" max="11789" width="6.5703125" style="2" customWidth="1"/>
    <col min="11790" max="11790" width="9.140625" style="2" customWidth="1"/>
    <col min="11791" max="11791" width="4.140625" style="2" customWidth="1"/>
    <col min="11792" max="12032" width="9.140625" style="2"/>
    <col min="12033" max="12033" width="49.28515625" style="2" customWidth="1"/>
    <col min="12034" max="12034" width="12.28515625" style="2" customWidth="1"/>
    <col min="12035" max="12035" width="7.5703125" style="2" customWidth="1"/>
    <col min="12036" max="12036" width="9.140625" style="2"/>
    <col min="12037" max="12037" width="13.140625" style="2" customWidth="1"/>
    <col min="12038" max="12038" width="0" style="2" hidden="1" customWidth="1"/>
    <col min="12039" max="12039" width="13.42578125" style="2" customWidth="1"/>
    <col min="12040" max="12041" width="0" style="2" hidden="1" customWidth="1"/>
    <col min="12042" max="12042" width="10.5703125" style="2" customWidth="1"/>
    <col min="12043" max="12043" width="6.140625" style="2" customWidth="1"/>
    <col min="12044" max="12044" width="9.140625" style="2" customWidth="1"/>
    <col min="12045" max="12045" width="6.5703125" style="2" customWidth="1"/>
    <col min="12046" max="12046" width="9.140625" style="2" customWidth="1"/>
    <col min="12047" max="12047" width="4.140625" style="2" customWidth="1"/>
    <col min="12048" max="12288" width="9.140625" style="2"/>
    <col min="12289" max="12289" width="49.28515625" style="2" customWidth="1"/>
    <col min="12290" max="12290" width="12.28515625" style="2" customWidth="1"/>
    <col min="12291" max="12291" width="7.5703125" style="2" customWidth="1"/>
    <col min="12292" max="12292" width="9.140625" style="2"/>
    <col min="12293" max="12293" width="13.140625" style="2" customWidth="1"/>
    <col min="12294" max="12294" width="0" style="2" hidden="1" customWidth="1"/>
    <col min="12295" max="12295" width="13.42578125" style="2" customWidth="1"/>
    <col min="12296" max="12297" width="0" style="2" hidden="1" customWidth="1"/>
    <col min="12298" max="12298" width="10.5703125" style="2" customWidth="1"/>
    <col min="12299" max="12299" width="6.140625" style="2" customWidth="1"/>
    <col min="12300" max="12300" width="9.140625" style="2" customWidth="1"/>
    <col min="12301" max="12301" width="6.5703125" style="2" customWidth="1"/>
    <col min="12302" max="12302" width="9.140625" style="2" customWidth="1"/>
    <col min="12303" max="12303" width="4.140625" style="2" customWidth="1"/>
    <col min="12304" max="12544" width="9.140625" style="2"/>
    <col min="12545" max="12545" width="49.28515625" style="2" customWidth="1"/>
    <col min="12546" max="12546" width="12.28515625" style="2" customWidth="1"/>
    <col min="12547" max="12547" width="7.5703125" style="2" customWidth="1"/>
    <col min="12548" max="12548" width="9.140625" style="2"/>
    <col min="12549" max="12549" width="13.140625" style="2" customWidth="1"/>
    <col min="12550" max="12550" width="0" style="2" hidden="1" customWidth="1"/>
    <col min="12551" max="12551" width="13.42578125" style="2" customWidth="1"/>
    <col min="12552" max="12553" width="0" style="2" hidden="1" customWidth="1"/>
    <col min="12554" max="12554" width="10.5703125" style="2" customWidth="1"/>
    <col min="12555" max="12555" width="6.140625" style="2" customWidth="1"/>
    <col min="12556" max="12556" width="9.140625" style="2" customWidth="1"/>
    <col min="12557" max="12557" width="6.5703125" style="2" customWidth="1"/>
    <col min="12558" max="12558" width="9.140625" style="2" customWidth="1"/>
    <col min="12559" max="12559" width="4.140625" style="2" customWidth="1"/>
    <col min="12560" max="12800" width="9.140625" style="2"/>
    <col min="12801" max="12801" width="49.28515625" style="2" customWidth="1"/>
    <col min="12802" max="12802" width="12.28515625" style="2" customWidth="1"/>
    <col min="12803" max="12803" width="7.5703125" style="2" customWidth="1"/>
    <col min="12804" max="12804" width="9.140625" style="2"/>
    <col min="12805" max="12805" width="13.140625" style="2" customWidth="1"/>
    <col min="12806" max="12806" width="0" style="2" hidden="1" customWidth="1"/>
    <col min="12807" max="12807" width="13.42578125" style="2" customWidth="1"/>
    <col min="12808" max="12809" width="0" style="2" hidden="1" customWidth="1"/>
    <col min="12810" max="12810" width="10.5703125" style="2" customWidth="1"/>
    <col min="12811" max="12811" width="6.140625" style="2" customWidth="1"/>
    <col min="12812" max="12812" width="9.140625" style="2" customWidth="1"/>
    <col min="12813" max="12813" width="6.5703125" style="2" customWidth="1"/>
    <col min="12814" max="12814" width="9.140625" style="2" customWidth="1"/>
    <col min="12815" max="12815" width="4.140625" style="2" customWidth="1"/>
    <col min="12816" max="13056" width="9.140625" style="2"/>
    <col min="13057" max="13057" width="49.28515625" style="2" customWidth="1"/>
    <col min="13058" max="13058" width="12.28515625" style="2" customWidth="1"/>
    <col min="13059" max="13059" width="7.5703125" style="2" customWidth="1"/>
    <col min="13060" max="13060" width="9.140625" style="2"/>
    <col min="13061" max="13061" width="13.140625" style="2" customWidth="1"/>
    <col min="13062" max="13062" width="0" style="2" hidden="1" customWidth="1"/>
    <col min="13063" max="13063" width="13.42578125" style="2" customWidth="1"/>
    <col min="13064" max="13065" width="0" style="2" hidden="1" customWidth="1"/>
    <col min="13066" max="13066" width="10.5703125" style="2" customWidth="1"/>
    <col min="13067" max="13067" width="6.140625" style="2" customWidth="1"/>
    <col min="13068" max="13068" width="9.140625" style="2" customWidth="1"/>
    <col min="13069" max="13069" width="6.5703125" style="2" customWidth="1"/>
    <col min="13070" max="13070" width="9.140625" style="2" customWidth="1"/>
    <col min="13071" max="13071" width="4.140625" style="2" customWidth="1"/>
    <col min="13072" max="13312" width="9.140625" style="2"/>
    <col min="13313" max="13313" width="49.28515625" style="2" customWidth="1"/>
    <col min="13314" max="13314" width="12.28515625" style="2" customWidth="1"/>
    <col min="13315" max="13315" width="7.5703125" style="2" customWidth="1"/>
    <col min="13316" max="13316" width="9.140625" style="2"/>
    <col min="13317" max="13317" width="13.140625" style="2" customWidth="1"/>
    <col min="13318" max="13318" width="0" style="2" hidden="1" customWidth="1"/>
    <col min="13319" max="13319" width="13.42578125" style="2" customWidth="1"/>
    <col min="13320" max="13321" width="0" style="2" hidden="1" customWidth="1"/>
    <col min="13322" max="13322" width="10.5703125" style="2" customWidth="1"/>
    <col min="13323" max="13323" width="6.140625" style="2" customWidth="1"/>
    <col min="13324" max="13324" width="9.140625" style="2" customWidth="1"/>
    <col min="13325" max="13325" width="6.5703125" style="2" customWidth="1"/>
    <col min="13326" max="13326" width="9.140625" style="2" customWidth="1"/>
    <col min="13327" max="13327" width="4.140625" style="2" customWidth="1"/>
    <col min="13328" max="13568" width="9.140625" style="2"/>
    <col min="13569" max="13569" width="49.28515625" style="2" customWidth="1"/>
    <col min="13570" max="13570" width="12.28515625" style="2" customWidth="1"/>
    <col min="13571" max="13571" width="7.5703125" style="2" customWidth="1"/>
    <col min="13572" max="13572" width="9.140625" style="2"/>
    <col min="13573" max="13573" width="13.140625" style="2" customWidth="1"/>
    <col min="13574" max="13574" width="0" style="2" hidden="1" customWidth="1"/>
    <col min="13575" max="13575" width="13.42578125" style="2" customWidth="1"/>
    <col min="13576" max="13577" width="0" style="2" hidden="1" customWidth="1"/>
    <col min="13578" max="13578" width="10.5703125" style="2" customWidth="1"/>
    <col min="13579" max="13579" width="6.140625" style="2" customWidth="1"/>
    <col min="13580" max="13580" width="9.140625" style="2" customWidth="1"/>
    <col min="13581" max="13581" width="6.5703125" style="2" customWidth="1"/>
    <col min="13582" max="13582" width="9.140625" style="2" customWidth="1"/>
    <col min="13583" max="13583" width="4.140625" style="2" customWidth="1"/>
    <col min="13584" max="13824" width="9.140625" style="2"/>
    <col min="13825" max="13825" width="49.28515625" style="2" customWidth="1"/>
    <col min="13826" max="13826" width="12.28515625" style="2" customWidth="1"/>
    <col min="13827" max="13827" width="7.5703125" style="2" customWidth="1"/>
    <col min="13828" max="13828" width="9.140625" style="2"/>
    <col min="13829" max="13829" width="13.140625" style="2" customWidth="1"/>
    <col min="13830" max="13830" width="0" style="2" hidden="1" customWidth="1"/>
    <col min="13831" max="13831" width="13.42578125" style="2" customWidth="1"/>
    <col min="13832" max="13833" width="0" style="2" hidden="1" customWidth="1"/>
    <col min="13834" max="13834" width="10.5703125" style="2" customWidth="1"/>
    <col min="13835" max="13835" width="6.140625" style="2" customWidth="1"/>
    <col min="13836" max="13836" width="9.140625" style="2" customWidth="1"/>
    <col min="13837" max="13837" width="6.5703125" style="2" customWidth="1"/>
    <col min="13838" max="13838" width="9.140625" style="2" customWidth="1"/>
    <col min="13839" max="13839" width="4.140625" style="2" customWidth="1"/>
    <col min="13840" max="14080" width="9.140625" style="2"/>
    <col min="14081" max="14081" width="49.28515625" style="2" customWidth="1"/>
    <col min="14082" max="14082" width="12.28515625" style="2" customWidth="1"/>
    <col min="14083" max="14083" width="7.5703125" style="2" customWidth="1"/>
    <col min="14084" max="14084" width="9.140625" style="2"/>
    <col min="14085" max="14085" width="13.140625" style="2" customWidth="1"/>
    <col min="14086" max="14086" width="0" style="2" hidden="1" customWidth="1"/>
    <col min="14087" max="14087" width="13.42578125" style="2" customWidth="1"/>
    <col min="14088" max="14089" width="0" style="2" hidden="1" customWidth="1"/>
    <col min="14090" max="14090" width="10.5703125" style="2" customWidth="1"/>
    <col min="14091" max="14091" width="6.140625" style="2" customWidth="1"/>
    <col min="14092" max="14092" width="9.140625" style="2" customWidth="1"/>
    <col min="14093" max="14093" width="6.5703125" style="2" customWidth="1"/>
    <col min="14094" max="14094" width="9.140625" style="2" customWidth="1"/>
    <col min="14095" max="14095" width="4.140625" style="2" customWidth="1"/>
    <col min="14096" max="14336" width="9.140625" style="2"/>
    <col min="14337" max="14337" width="49.28515625" style="2" customWidth="1"/>
    <col min="14338" max="14338" width="12.28515625" style="2" customWidth="1"/>
    <col min="14339" max="14339" width="7.5703125" style="2" customWidth="1"/>
    <col min="14340" max="14340" width="9.140625" style="2"/>
    <col min="14341" max="14341" width="13.140625" style="2" customWidth="1"/>
    <col min="14342" max="14342" width="0" style="2" hidden="1" customWidth="1"/>
    <col min="14343" max="14343" width="13.42578125" style="2" customWidth="1"/>
    <col min="14344" max="14345" width="0" style="2" hidden="1" customWidth="1"/>
    <col min="14346" max="14346" width="10.5703125" style="2" customWidth="1"/>
    <col min="14347" max="14347" width="6.140625" style="2" customWidth="1"/>
    <col min="14348" max="14348" width="9.140625" style="2" customWidth="1"/>
    <col min="14349" max="14349" width="6.5703125" style="2" customWidth="1"/>
    <col min="14350" max="14350" width="9.140625" style="2" customWidth="1"/>
    <col min="14351" max="14351" width="4.140625" style="2" customWidth="1"/>
    <col min="14352" max="14592" width="9.140625" style="2"/>
    <col min="14593" max="14593" width="49.28515625" style="2" customWidth="1"/>
    <col min="14594" max="14594" width="12.28515625" style="2" customWidth="1"/>
    <col min="14595" max="14595" width="7.5703125" style="2" customWidth="1"/>
    <col min="14596" max="14596" width="9.140625" style="2"/>
    <col min="14597" max="14597" width="13.140625" style="2" customWidth="1"/>
    <col min="14598" max="14598" width="0" style="2" hidden="1" customWidth="1"/>
    <col min="14599" max="14599" width="13.42578125" style="2" customWidth="1"/>
    <col min="14600" max="14601" width="0" style="2" hidden="1" customWidth="1"/>
    <col min="14602" max="14602" width="10.5703125" style="2" customWidth="1"/>
    <col min="14603" max="14603" width="6.140625" style="2" customWidth="1"/>
    <col min="14604" max="14604" width="9.140625" style="2" customWidth="1"/>
    <col min="14605" max="14605" width="6.5703125" style="2" customWidth="1"/>
    <col min="14606" max="14606" width="9.140625" style="2" customWidth="1"/>
    <col min="14607" max="14607" width="4.140625" style="2" customWidth="1"/>
    <col min="14608" max="14848" width="9.140625" style="2"/>
    <col min="14849" max="14849" width="49.28515625" style="2" customWidth="1"/>
    <col min="14850" max="14850" width="12.28515625" style="2" customWidth="1"/>
    <col min="14851" max="14851" width="7.5703125" style="2" customWidth="1"/>
    <col min="14852" max="14852" width="9.140625" style="2"/>
    <col min="14853" max="14853" width="13.140625" style="2" customWidth="1"/>
    <col min="14854" max="14854" width="0" style="2" hidden="1" customWidth="1"/>
    <col min="14855" max="14855" width="13.42578125" style="2" customWidth="1"/>
    <col min="14856" max="14857" width="0" style="2" hidden="1" customWidth="1"/>
    <col min="14858" max="14858" width="10.5703125" style="2" customWidth="1"/>
    <col min="14859" max="14859" width="6.140625" style="2" customWidth="1"/>
    <col min="14860" max="14860" width="9.140625" style="2" customWidth="1"/>
    <col min="14861" max="14861" width="6.5703125" style="2" customWidth="1"/>
    <col min="14862" max="14862" width="9.140625" style="2" customWidth="1"/>
    <col min="14863" max="14863" width="4.140625" style="2" customWidth="1"/>
    <col min="14864" max="15104" width="9.140625" style="2"/>
    <col min="15105" max="15105" width="49.28515625" style="2" customWidth="1"/>
    <col min="15106" max="15106" width="12.28515625" style="2" customWidth="1"/>
    <col min="15107" max="15107" width="7.5703125" style="2" customWidth="1"/>
    <col min="15108" max="15108" width="9.140625" style="2"/>
    <col min="15109" max="15109" width="13.140625" style="2" customWidth="1"/>
    <col min="15110" max="15110" width="0" style="2" hidden="1" customWidth="1"/>
    <col min="15111" max="15111" width="13.42578125" style="2" customWidth="1"/>
    <col min="15112" max="15113" width="0" style="2" hidden="1" customWidth="1"/>
    <col min="15114" max="15114" width="10.5703125" style="2" customWidth="1"/>
    <col min="15115" max="15115" width="6.140625" style="2" customWidth="1"/>
    <col min="15116" max="15116" width="9.140625" style="2" customWidth="1"/>
    <col min="15117" max="15117" width="6.5703125" style="2" customWidth="1"/>
    <col min="15118" max="15118" width="9.140625" style="2" customWidth="1"/>
    <col min="15119" max="15119" width="4.140625" style="2" customWidth="1"/>
    <col min="15120" max="15360" width="9.140625" style="2"/>
    <col min="15361" max="15361" width="49.28515625" style="2" customWidth="1"/>
    <col min="15362" max="15362" width="12.28515625" style="2" customWidth="1"/>
    <col min="15363" max="15363" width="7.5703125" style="2" customWidth="1"/>
    <col min="15364" max="15364" width="9.140625" style="2"/>
    <col min="15365" max="15365" width="13.140625" style="2" customWidth="1"/>
    <col min="15366" max="15366" width="0" style="2" hidden="1" customWidth="1"/>
    <col min="15367" max="15367" width="13.42578125" style="2" customWidth="1"/>
    <col min="15368" max="15369" width="0" style="2" hidden="1" customWidth="1"/>
    <col min="15370" max="15370" width="10.5703125" style="2" customWidth="1"/>
    <col min="15371" max="15371" width="6.140625" style="2" customWidth="1"/>
    <col min="15372" max="15372" width="9.140625" style="2" customWidth="1"/>
    <col min="15373" max="15373" width="6.5703125" style="2" customWidth="1"/>
    <col min="15374" max="15374" width="9.140625" style="2" customWidth="1"/>
    <col min="15375" max="15375" width="4.140625" style="2" customWidth="1"/>
    <col min="15376" max="15616" width="9.140625" style="2"/>
    <col min="15617" max="15617" width="49.28515625" style="2" customWidth="1"/>
    <col min="15618" max="15618" width="12.28515625" style="2" customWidth="1"/>
    <col min="15619" max="15619" width="7.5703125" style="2" customWidth="1"/>
    <col min="15620" max="15620" width="9.140625" style="2"/>
    <col min="15621" max="15621" width="13.140625" style="2" customWidth="1"/>
    <col min="15622" max="15622" width="0" style="2" hidden="1" customWidth="1"/>
    <col min="15623" max="15623" width="13.42578125" style="2" customWidth="1"/>
    <col min="15624" max="15625" width="0" style="2" hidden="1" customWidth="1"/>
    <col min="15626" max="15626" width="10.5703125" style="2" customWidth="1"/>
    <col min="15627" max="15627" width="6.140625" style="2" customWidth="1"/>
    <col min="15628" max="15628" width="9.140625" style="2" customWidth="1"/>
    <col min="15629" max="15629" width="6.5703125" style="2" customWidth="1"/>
    <col min="15630" max="15630" width="9.140625" style="2" customWidth="1"/>
    <col min="15631" max="15631" width="4.140625" style="2" customWidth="1"/>
    <col min="15632" max="15872" width="9.140625" style="2"/>
    <col min="15873" max="15873" width="49.28515625" style="2" customWidth="1"/>
    <col min="15874" max="15874" width="12.28515625" style="2" customWidth="1"/>
    <col min="15875" max="15875" width="7.5703125" style="2" customWidth="1"/>
    <col min="15876" max="15876" width="9.140625" style="2"/>
    <col min="15877" max="15877" width="13.140625" style="2" customWidth="1"/>
    <col min="15878" max="15878" width="0" style="2" hidden="1" customWidth="1"/>
    <col min="15879" max="15879" width="13.42578125" style="2" customWidth="1"/>
    <col min="15880" max="15881" width="0" style="2" hidden="1" customWidth="1"/>
    <col min="15882" max="15882" width="10.5703125" style="2" customWidth="1"/>
    <col min="15883" max="15883" width="6.140625" style="2" customWidth="1"/>
    <col min="15884" max="15884" width="9.140625" style="2" customWidth="1"/>
    <col min="15885" max="15885" width="6.5703125" style="2" customWidth="1"/>
    <col min="15886" max="15886" width="9.140625" style="2" customWidth="1"/>
    <col min="15887" max="15887" width="4.140625" style="2" customWidth="1"/>
    <col min="15888" max="16128" width="9.140625" style="2"/>
    <col min="16129" max="16129" width="49.28515625" style="2" customWidth="1"/>
    <col min="16130" max="16130" width="12.28515625" style="2" customWidth="1"/>
    <col min="16131" max="16131" width="7.5703125" style="2" customWidth="1"/>
    <col min="16132" max="16132" width="9.140625" style="2"/>
    <col min="16133" max="16133" width="13.140625" style="2" customWidth="1"/>
    <col min="16134" max="16134" width="0" style="2" hidden="1" customWidth="1"/>
    <col min="16135" max="16135" width="13.42578125" style="2" customWidth="1"/>
    <col min="16136" max="16137" width="0" style="2" hidden="1" customWidth="1"/>
    <col min="16138" max="16138" width="10.5703125" style="2" customWidth="1"/>
    <col min="16139" max="16139" width="6.140625" style="2" customWidth="1"/>
    <col min="16140" max="16140" width="9.140625" style="2" customWidth="1"/>
    <col min="16141" max="16141" width="6.5703125" style="2" customWidth="1"/>
    <col min="16142" max="16142" width="9.140625" style="2" customWidth="1"/>
    <col min="16143" max="16143" width="4.140625" style="2" customWidth="1"/>
    <col min="16144" max="16384" width="9.140625" style="2"/>
  </cols>
  <sheetData>
    <row r="1" spans="1:19" ht="14.25" customHeight="1">
      <c r="A1" s="1"/>
      <c r="C1" s="599"/>
      <c r="D1" s="599"/>
      <c r="E1" s="599"/>
      <c r="F1" s="599"/>
      <c r="G1" s="599"/>
      <c r="P1" s="632" t="s">
        <v>531</v>
      </c>
      <c r="Q1" s="632"/>
    </row>
    <row r="2" spans="1:19" ht="93" customHeight="1">
      <c r="A2" s="3"/>
      <c r="C2" s="504"/>
      <c r="G2" s="684" t="s">
        <v>585</v>
      </c>
      <c r="H2" s="721"/>
      <c r="I2" s="721"/>
      <c r="J2" s="721"/>
      <c r="K2" s="721"/>
      <c r="L2" s="721"/>
      <c r="M2" s="721"/>
      <c r="N2" s="721"/>
      <c r="O2" s="721"/>
      <c r="P2" s="721"/>
      <c r="Q2" s="721"/>
      <c r="R2" s="600"/>
      <c r="S2" s="600"/>
    </row>
    <row r="3" spans="1:19" ht="15" hidden="1">
      <c r="A3" s="3"/>
      <c r="B3" s="686"/>
      <c r="C3" s="686"/>
      <c r="D3" s="686"/>
      <c r="E3" s="686"/>
      <c r="F3" s="686"/>
      <c r="G3" s="686"/>
      <c r="P3" s="2"/>
      <c r="Q3" s="380"/>
    </row>
    <row r="4" spans="1:19" ht="15" hidden="1">
      <c r="A4" s="4"/>
      <c r="B4" s="686"/>
      <c r="C4" s="686"/>
      <c r="D4" s="686"/>
      <c r="E4" s="686"/>
      <c r="F4" s="686"/>
      <c r="G4" s="686"/>
      <c r="P4" s="2"/>
      <c r="Q4" s="380"/>
    </row>
    <row r="5" spans="1:19" ht="4.5" customHeight="1">
      <c r="A5" s="687"/>
      <c r="B5" s="687"/>
      <c r="C5" s="687"/>
      <c r="D5" s="687"/>
      <c r="E5" s="687"/>
      <c r="F5" s="687"/>
      <c r="G5" s="687"/>
      <c r="H5" s="687"/>
      <c r="I5" s="687"/>
      <c r="P5" s="2"/>
      <c r="Q5" s="380"/>
    </row>
    <row r="6" spans="1:19" ht="81.75" customHeight="1" thickBot="1">
      <c r="A6" s="685" t="s">
        <v>577</v>
      </c>
      <c r="B6" s="685"/>
      <c r="C6" s="685"/>
      <c r="D6" s="685"/>
      <c r="E6" s="685"/>
      <c r="F6" s="685"/>
      <c r="G6" s="685"/>
      <c r="H6" s="685"/>
      <c r="I6" s="685"/>
      <c r="J6" s="685"/>
      <c r="K6" s="685"/>
      <c r="L6" s="685"/>
      <c r="M6" s="685"/>
      <c r="N6" s="685"/>
      <c r="O6" s="685"/>
      <c r="P6" s="685"/>
      <c r="Q6" s="685"/>
    </row>
    <row r="7" spans="1:19" ht="53.25" thickBot="1">
      <c r="A7" s="274" t="s">
        <v>1</v>
      </c>
      <c r="B7" s="275" t="s">
        <v>2</v>
      </c>
      <c r="C7" s="275" t="s">
        <v>3</v>
      </c>
      <c r="D7" s="275" t="s">
        <v>4</v>
      </c>
      <c r="E7" s="276" t="s">
        <v>532</v>
      </c>
      <c r="F7" s="467" t="s">
        <v>533</v>
      </c>
      <c r="G7" s="482" t="s">
        <v>534</v>
      </c>
      <c r="J7" s="688" t="s">
        <v>535</v>
      </c>
      <c r="K7" s="689"/>
      <c r="L7" s="688" t="s">
        <v>536</v>
      </c>
      <c r="M7" s="689"/>
      <c r="N7" s="277" t="s">
        <v>537</v>
      </c>
      <c r="O7" s="278"/>
      <c r="P7" s="276" t="s">
        <v>581</v>
      </c>
      <c r="Q7" s="410" t="s">
        <v>548</v>
      </c>
    </row>
    <row r="8" spans="1:19" ht="15">
      <c r="A8" s="279" t="s">
        <v>8</v>
      </c>
      <c r="B8" s="280"/>
      <c r="C8" s="281"/>
      <c r="D8" s="282"/>
      <c r="E8" s="283">
        <f>E9</f>
        <v>24699.05</v>
      </c>
      <c r="F8" s="468">
        <f>F9</f>
        <v>23963.05</v>
      </c>
      <c r="G8" s="483">
        <f>G9</f>
        <v>34028.192439999999</v>
      </c>
      <c r="J8" s="9"/>
      <c r="K8" s="10"/>
      <c r="L8" s="9"/>
      <c r="M8" s="10"/>
      <c r="N8" s="9"/>
      <c r="O8" s="10"/>
      <c r="P8" s="567">
        <f>P9</f>
        <v>30444.380449999997</v>
      </c>
      <c r="Q8" s="411">
        <f>P8/G8</f>
        <v>0.89468109432144727</v>
      </c>
    </row>
    <row r="9" spans="1:19" ht="43.5" thickBot="1">
      <c r="A9" s="284" t="s">
        <v>9</v>
      </c>
      <c r="B9" s="285">
        <v>71</v>
      </c>
      <c r="C9" s="286"/>
      <c r="D9" s="287"/>
      <c r="E9" s="288">
        <f>E10+E26+E39+E71+E88</f>
        <v>24699.05</v>
      </c>
      <c r="F9" s="469">
        <f>F10+F26+F39+F71+F88</f>
        <v>23963.05</v>
      </c>
      <c r="G9" s="484">
        <f>G10+G26+G39+G71+G88</f>
        <v>34028.192439999999</v>
      </c>
      <c r="J9" s="289">
        <f>G14+G17+G19+G22+G25+G30+G32+G35+G38+G43+G45+G48+G51+G53+G55+G57+G59+G62+G64+G66+G70+G75+G77+G78+G80+G81+G83+G84+G86+G87+G92+G95+G97+G100+G102+G104+G111+G113+G116+G117+G120+G122+G126+G127+G128+G129+G130+G131+G132+G134+G136+G138+G139+G141+G143+G145+G147+G149+G151+G152+G154+G156+G158+G160+G162+G164+G166+G106</f>
        <v>48146.865269999995</v>
      </c>
      <c r="K9" s="10"/>
      <c r="L9" s="9"/>
      <c r="M9" s="10"/>
      <c r="N9" s="9"/>
      <c r="O9" s="10"/>
      <c r="P9" s="568">
        <f>P10+P26+P39+P71+P88</f>
        <v>30444.380449999997</v>
      </c>
      <c r="Q9" s="412">
        <f>P9/G9</f>
        <v>0.89468109432144727</v>
      </c>
    </row>
    <row r="10" spans="1:19" ht="14.25">
      <c r="A10" s="230" t="s">
        <v>10</v>
      </c>
      <c r="B10" s="649" t="s">
        <v>11</v>
      </c>
      <c r="C10" s="651"/>
      <c r="D10" s="690"/>
      <c r="E10" s="628">
        <f>E12+E15+E20+E23</f>
        <v>450</v>
      </c>
      <c r="F10" s="692">
        <f>F12+F15+F20+F23</f>
        <v>450</v>
      </c>
      <c r="G10" s="694">
        <f>G12+G15+G20+G23</f>
        <v>712</v>
      </c>
      <c r="J10" s="9"/>
      <c r="K10" s="10"/>
      <c r="L10" s="9"/>
      <c r="M10" s="10"/>
      <c r="N10" s="9"/>
      <c r="O10" s="10"/>
      <c r="P10" s="696">
        <f>P12+P15+P20+P23</f>
        <v>641.11041999999998</v>
      </c>
      <c r="Q10" s="622">
        <f>P10/G10</f>
        <v>0.90043598314606743</v>
      </c>
    </row>
    <row r="11" spans="1:19" ht="26.25" thickBot="1">
      <c r="A11" s="232" t="s">
        <v>12</v>
      </c>
      <c r="B11" s="650"/>
      <c r="C11" s="652"/>
      <c r="D11" s="691"/>
      <c r="E11" s="629"/>
      <c r="F11" s="693"/>
      <c r="G11" s="695"/>
      <c r="J11" s="9"/>
      <c r="K11" s="10"/>
      <c r="L11" s="9"/>
      <c r="M11" s="10"/>
      <c r="N11" s="9"/>
      <c r="O11" s="10"/>
      <c r="P11" s="697"/>
      <c r="Q11" s="623"/>
    </row>
    <row r="12" spans="1:19">
      <c r="A12" s="290" t="s">
        <v>13</v>
      </c>
      <c r="B12" s="291"/>
      <c r="C12" s="291" t="s">
        <v>14</v>
      </c>
      <c r="D12" s="291" t="s">
        <v>15</v>
      </c>
      <c r="E12" s="292">
        <f t="shared" ref="E12:G13" si="0">E13</f>
        <v>300</v>
      </c>
      <c r="F12" s="470">
        <f t="shared" si="0"/>
        <v>300</v>
      </c>
      <c r="G12" s="485">
        <f t="shared" si="0"/>
        <v>336</v>
      </c>
      <c r="J12" s="9"/>
      <c r="K12" s="10"/>
      <c r="L12" s="9"/>
      <c r="M12" s="10"/>
      <c r="N12" s="9"/>
      <c r="O12" s="10"/>
      <c r="P12" s="569">
        <f t="shared" ref="P12:P13" si="1">P13</f>
        <v>325.11041999999998</v>
      </c>
      <c r="Q12" s="413">
        <f t="shared" ref="Q12:Q26" si="2">P12/G12</f>
        <v>0.96759053571428566</v>
      </c>
    </row>
    <row r="13" spans="1:19" ht="25.5">
      <c r="A13" s="293" t="s">
        <v>16</v>
      </c>
      <c r="B13" s="294" t="s">
        <v>17</v>
      </c>
      <c r="C13" s="294"/>
      <c r="D13" s="294"/>
      <c r="E13" s="295">
        <f t="shared" si="0"/>
        <v>300</v>
      </c>
      <c r="F13" s="471">
        <f t="shared" si="0"/>
        <v>300</v>
      </c>
      <c r="G13" s="313">
        <f t="shared" si="0"/>
        <v>336</v>
      </c>
      <c r="J13" s="9"/>
      <c r="K13" s="10"/>
      <c r="L13" s="9"/>
      <c r="M13" s="10"/>
      <c r="N13" s="9"/>
      <c r="O13" s="10"/>
      <c r="P13" s="570">
        <f t="shared" si="1"/>
        <v>325.11041999999998</v>
      </c>
      <c r="Q13" s="414">
        <f t="shared" si="2"/>
        <v>0.96759053571428566</v>
      </c>
    </row>
    <row r="14" spans="1:19" ht="25.5">
      <c r="A14" s="11" t="s">
        <v>18</v>
      </c>
      <c r="B14" s="12" t="s">
        <v>17</v>
      </c>
      <c r="C14" s="12" t="s">
        <v>19</v>
      </c>
      <c r="D14" s="12" t="s">
        <v>15</v>
      </c>
      <c r="E14" s="15">
        <v>300</v>
      </c>
      <c r="F14" s="472">
        <f>E14+J14+K14</f>
        <v>300</v>
      </c>
      <c r="G14" s="14">
        <f>'прил.5 ВЕДОМ.СТР.РАСХ.'!E14</f>
        <v>336</v>
      </c>
      <c r="J14" s="9"/>
      <c r="K14" s="10"/>
      <c r="L14" s="9"/>
      <c r="M14" s="10"/>
      <c r="N14" s="9"/>
      <c r="O14" s="10"/>
      <c r="P14" s="440">
        <f>'прил.5 ВЕДОМ.СТР.РАСХ.'!K14</f>
        <v>325.11041999999998</v>
      </c>
      <c r="Q14" s="386">
        <f t="shared" si="2"/>
        <v>0.96759053571428566</v>
      </c>
    </row>
    <row r="15" spans="1:19">
      <c r="A15" s="293" t="s">
        <v>20</v>
      </c>
      <c r="B15" s="294"/>
      <c r="C15" s="294"/>
      <c r="D15" s="294" t="s">
        <v>21</v>
      </c>
      <c r="E15" s="295">
        <f>E16+E18</f>
        <v>150</v>
      </c>
      <c r="F15" s="471">
        <f>F16+F18</f>
        <v>150</v>
      </c>
      <c r="G15" s="313">
        <f>G16+G18</f>
        <v>376</v>
      </c>
      <c r="J15" s="9"/>
      <c r="K15" s="10"/>
      <c r="L15" s="9"/>
      <c r="M15" s="10"/>
      <c r="N15" s="9"/>
      <c r="O15" s="10"/>
      <c r="P15" s="570">
        <f>P16+P18</f>
        <v>316</v>
      </c>
      <c r="Q15" s="414">
        <f t="shared" si="2"/>
        <v>0.84042553191489366</v>
      </c>
    </row>
    <row r="16" spans="1:19" ht="25.5">
      <c r="A16" s="296" t="s">
        <v>22</v>
      </c>
      <c r="B16" s="297" t="s">
        <v>23</v>
      </c>
      <c r="C16" s="297"/>
      <c r="D16" s="297"/>
      <c r="E16" s="298">
        <f>E17</f>
        <v>0</v>
      </c>
      <c r="F16" s="472">
        <f>E16+J16+K16</f>
        <v>0</v>
      </c>
      <c r="G16" s="486">
        <f>G17</f>
        <v>30</v>
      </c>
      <c r="J16" s="9"/>
      <c r="K16" s="10"/>
      <c r="L16" s="9"/>
      <c r="M16" s="10"/>
      <c r="N16" s="9"/>
      <c r="O16" s="10"/>
      <c r="P16" s="571">
        <f>P17</f>
        <v>20</v>
      </c>
      <c r="Q16" s="415">
        <f t="shared" si="2"/>
        <v>0.66666666666666663</v>
      </c>
    </row>
    <row r="17" spans="1:17" ht="25.5">
      <c r="A17" s="16" t="s">
        <v>24</v>
      </c>
      <c r="B17" s="17" t="s">
        <v>23</v>
      </c>
      <c r="C17" s="17" t="s">
        <v>19</v>
      </c>
      <c r="D17" s="17" t="s">
        <v>21</v>
      </c>
      <c r="E17" s="22"/>
      <c r="F17" s="472">
        <f>E17+J17+K17</f>
        <v>0</v>
      </c>
      <c r="G17" s="42">
        <f>'прил.5 ВЕДОМ.СТР.РАСХ.'!E17</f>
        <v>30</v>
      </c>
      <c r="J17" s="9"/>
      <c r="K17" s="10"/>
      <c r="L17" s="9"/>
      <c r="M17" s="10">
        <v>30</v>
      </c>
      <c r="N17" s="9"/>
      <c r="O17" s="10"/>
      <c r="P17" s="572">
        <f>'прил.5 ВЕДОМ.СТР.РАСХ.'!K17</f>
        <v>20</v>
      </c>
      <c r="Q17" s="389">
        <f t="shared" si="2"/>
        <v>0.66666666666666663</v>
      </c>
    </row>
    <row r="18" spans="1:17">
      <c r="A18" s="296" t="s">
        <v>25</v>
      </c>
      <c r="B18" s="297" t="s">
        <v>26</v>
      </c>
      <c r="C18" s="297"/>
      <c r="D18" s="297"/>
      <c r="E18" s="298">
        <f>E19</f>
        <v>150</v>
      </c>
      <c r="F18" s="473">
        <f>F19</f>
        <v>150</v>
      </c>
      <c r="G18" s="313">
        <f>G19</f>
        <v>346</v>
      </c>
      <c r="J18" s="9"/>
      <c r="K18" s="10"/>
      <c r="L18" s="9"/>
      <c r="M18" s="10"/>
      <c r="N18" s="9"/>
      <c r="O18" s="10"/>
      <c r="P18" s="570">
        <f>P19</f>
        <v>296</v>
      </c>
      <c r="Q18" s="414">
        <f t="shared" si="2"/>
        <v>0.8554913294797688</v>
      </c>
    </row>
    <row r="19" spans="1:17" ht="26.25" thickBot="1">
      <c r="A19" s="16" t="s">
        <v>24</v>
      </c>
      <c r="B19" s="17" t="s">
        <v>26</v>
      </c>
      <c r="C19" s="17" t="s">
        <v>19</v>
      </c>
      <c r="D19" s="17" t="s">
        <v>21</v>
      </c>
      <c r="E19" s="22">
        <v>150</v>
      </c>
      <c r="F19" s="472">
        <f>E19+J19+K19</f>
        <v>150</v>
      </c>
      <c r="G19" s="42">
        <f>'прил.5 ВЕДОМ.СТР.РАСХ.'!E19</f>
        <v>346</v>
      </c>
      <c r="J19" s="9"/>
      <c r="K19" s="10"/>
      <c r="L19" s="9"/>
      <c r="M19" s="49">
        <v>50</v>
      </c>
      <c r="N19" s="9"/>
      <c r="O19" s="10"/>
      <c r="P19" s="572">
        <f>'прил.5 ВЕДОМ.СТР.РАСХ.'!K19</f>
        <v>296</v>
      </c>
      <c r="Q19" s="389">
        <f t="shared" si="2"/>
        <v>0.8554913294797688</v>
      </c>
    </row>
    <row r="20" spans="1:17" hidden="1">
      <c r="A20" s="296" t="s">
        <v>538</v>
      </c>
      <c r="B20" s="297"/>
      <c r="C20" s="297"/>
      <c r="D20" s="297" t="s">
        <v>28</v>
      </c>
      <c r="E20" s="298">
        <f t="shared" ref="E20:G21" si="3">E21</f>
        <v>0</v>
      </c>
      <c r="F20" s="473">
        <f t="shared" si="3"/>
        <v>0</v>
      </c>
      <c r="G20" s="486">
        <f t="shared" si="3"/>
        <v>0</v>
      </c>
      <c r="J20" s="9"/>
      <c r="K20" s="10"/>
      <c r="L20" s="9"/>
      <c r="M20" s="10"/>
      <c r="N20" s="9"/>
      <c r="O20" s="10"/>
      <c r="P20" s="571">
        <f t="shared" ref="P20:P21" si="4">P21</f>
        <v>0</v>
      </c>
      <c r="Q20" s="415" t="e">
        <f t="shared" si="2"/>
        <v>#DIV/0!</v>
      </c>
    </row>
    <row r="21" spans="1:17" ht="25.5" hidden="1">
      <c r="A21" s="296" t="s">
        <v>29</v>
      </c>
      <c r="B21" s="297" t="s">
        <v>30</v>
      </c>
      <c r="C21" s="297"/>
      <c r="D21" s="297"/>
      <c r="E21" s="298">
        <f t="shared" si="3"/>
        <v>0</v>
      </c>
      <c r="F21" s="473">
        <f t="shared" si="3"/>
        <v>0</v>
      </c>
      <c r="G21" s="486">
        <f t="shared" si="3"/>
        <v>0</v>
      </c>
      <c r="J21" s="9"/>
      <c r="K21" s="10"/>
      <c r="L21" s="9"/>
      <c r="M21" s="10"/>
      <c r="N21" s="9"/>
      <c r="O21" s="10"/>
      <c r="P21" s="571">
        <f t="shared" si="4"/>
        <v>0</v>
      </c>
      <c r="Q21" s="415" t="e">
        <f t="shared" si="2"/>
        <v>#DIV/0!</v>
      </c>
    </row>
    <row r="22" spans="1:17" ht="25.5" hidden="1">
      <c r="A22" s="16" t="s">
        <v>24</v>
      </c>
      <c r="B22" s="17" t="s">
        <v>30</v>
      </c>
      <c r="C22" s="17" t="s">
        <v>19</v>
      </c>
      <c r="D22" s="17" t="s">
        <v>28</v>
      </c>
      <c r="E22" s="22">
        <v>0</v>
      </c>
      <c r="F22" s="472">
        <f>E22+J22+K22</f>
        <v>0</v>
      </c>
      <c r="G22" s="487">
        <f>'прил.5 ВЕДОМ.СТР.РАСХ.'!E22</f>
        <v>0</v>
      </c>
      <c r="J22" s="20"/>
      <c r="K22" s="10"/>
      <c r="L22" s="9"/>
      <c r="M22" s="10"/>
      <c r="N22" s="9"/>
      <c r="O22" s="10"/>
      <c r="P22" s="573">
        <f>'прил.5 ВЕДОМ.СТР.РАСХ.'!K22</f>
        <v>0</v>
      </c>
      <c r="Q22" s="390" t="e">
        <f t="shared" si="2"/>
        <v>#DIV/0!</v>
      </c>
    </row>
    <row r="23" spans="1:17" hidden="1">
      <c r="A23" s="296" t="s">
        <v>31</v>
      </c>
      <c r="B23" s="297"/>
      <c r="C23" s="297"/>
      <c r="D23" s="297" t="s">
        <v>32</v>
      </c>
      <c r="E23" s="298">
        <f t="shared" ref="E23:G24" si="5">E24</f>
        <v>0</v>
      </c>
      <c r="F23" s="473">
        <f t="shared" si="5"/>
        <v>0</v>
      </c>
      <c r="G23" s="486">
        <f t="shared" si="5"/>
        <v>0</v>
      </c>
      <c r="J23" s="9"/>
      <c r="K23" s="10"/>
      <c r="L23" s="9"/>
      <c r="M23" s="10"/>
      <c r="N23" s="9"/>
      <c r="O23" s="10"/>
      <c r="P23" s="571">
        <f t="shared" ref="P23:P24" si="6">P24</f>
        <v>0</v>
      </c>
      <c r="Q23" s="415" t="e">
        <f t="shared" si="2"/>
        <v>#DIV/0!</v>
      </c>
    </row>
    <row r="24" spans="1:17" ht="25.5" hidden="1">
      <c r="A24" s="296" t="s">
        <v>33</v>
      </c>
      <c r="B24" s="297" t="s">
        <v>34</v>
      </c>
      <c r="C24" s="297"/>
      <c r="D24" s="297"/>
      <c r="E24" s="298">
        <f t="shared" si="5"/>
        <v>0</v>
      </c>
      <c r="F24" s="473">
        <f t="shared" si="5"/>
        <v>0</v>
      </c>
      <c r="G24" s="486">
        <f t="shared" si="5"/>
        <v>0</v>
      </c>
      <c r="J24" s="9"/>
      <c r="K24" s="10"/>
      <c r="L24" s="9"/>
      <c r="M24" s="10"/>
      <c r="N24" s="9"/>
      <c r="O24" s="10"/>
      <c r="P24" s="571">
        <f t="shared" si="6"/>
        <v>0</v>
      </c>
      <c r="Q24" s="415" t="e">
        <f t="shared" si="2"/>
        <v>#DIV/0!</v>
      </c>
    </row>
    <row r="25" spans="1:17" ht="26.25" hidden="1" thickBot="1">
      <c r="A25" s="16" t="s">
        <v>24</v>
      </c>
      <c r="B25" s="17" t="s">
        <v>34</v>
      </c>
      <c r="C25" s="17" t="s">
        <v>19</v>
      </c>
      <c r="D25" s="17" t="s">
        <v>32</v>
      </c>
      <c r="E25" s="22">
        <v>0</v>
      </c>
      <c r="F25" s="472">
        <f>E25+J25+K25</f>
        <v>0</v>
      </c>
      <c r="G25" s="487">
        <f>'прил.5 ВЕДОМ.СТР.РАСХ.'!E25</f>
        <v>0</v>
      </c>
      <c r="J25" s="20"/>
      <c r="K25" s="10"/>
      <c r="L25" s="9"/>
      <c r="M25" s="10"/>
      <c r="N25" s="9"/>
      <c r="O25" s="10"/>
      <c r="P25" s="573">
        <f>'прил.5 ВЕДОМ.СТР.РАСХ.'!K25</f>
        <v>0</v>
      </c>
      <c r="Q25" s="390" t="e">
        <f t="shared" si="2"/>
        <v>#DIV/0!</v>
      </c>
    </row>
    <row r="26" spans="1:17" ht="14.25">
      <c r="A26" s="230" t="s">
        <v>35</v>
      </c>
      <c r="B26" s="649" t="s">
        <v>36</v>
      </c>
      <c r="C26" s="649" t="s">
        <v>14</v>
      </c>
      <c r="D26" s="641"/>
      <c r="E26" s="628">
        <f>E28+E33+E36</f>
        <v>160</v>
      </c>
      <c r="F26" s="692">
        <f>F28+F33+F36</f>
        <v>160</v>
      </c>
      <c r="G26" s="694">
        <f>G28+G33+G36</f>
        <v>160</v>
      </c>
      <c r="J26" s="9"/>
      <c r="K26" s="10"/>
      <c r="L26" s="9"/>
      <c r="M26" s="10"/>
      <c r="N26" s="9"/>
      <c r="O26" s="10"/>
      <c r="P26" s="696">
        <f>P28+P33+P36</f>
        <v>56.562529999999995</v>
      </c>
      <c r="Q26" s="622">
        <f t="shared" si="2"/>
        <v>0.35351581249999997</v>
      </c>
    </row>
    <row r="27" spans="1:17" ht="26.25" thickBot="1">
      <c r="A27" s="232" t="s">
        <v>37</v>
      </c>
      <c r="B27" s="650"/>
      <c r="C27" s="650"/>
      <c r="D27" s="642"/>
      <c r="E27" s="629"/>
      <c r="F27" s="693"/>
      <c r="G27" s="695"/>
      <c r="J27" s="9"/>
      <c r="K27" s="10"/>
      <c r="L27" s="9"/>
      <c r="M27" s="10"/>
      <c r="N27" s="9"/>
      <c r="O27" s="10"/>
      <c r="P27" s="697"/>
      <c r="Q27" s="623"/>
    </row>
    <row r="28" spans="1:17" ht="38.25">
      <c r="A28" s="299" t="s">
        <v>38</v>
      </c>
      <c r="B28" s="300"/>
      <c r="C28" s="300" t="s">
        <v>14</v>
      </c>
      <c r="D28" s="300" t="s">
        <v>39</v>
      </c>
      <c r="E28" s="301">
        <f>E29+E31</f>
        <v>100</v>
      </c>
      <c r="F28" s="474">
        <f>F29+F31</f>
        <v>100</v>
      </c>
      <c r="G28" s="488">
        <f>G29+G31</f>
        <v>100</v>
      </c>
      <c r="J28" s="9"/>
      <c r="K28" s="10"/>
      <c r="L28" s="9"/>
      <c r="M28" s="10"/>
      <c r="N28" s="9"/>
      <c r="O28" s="10"/>
      <c r="P28" s="574">
        <f>P29+P31</f>
        <v>21.4</v>
      </c>
      <c r="Q28" s="416">
        <f t="shared" ref="Q28:Q39" si="7">P28/G28</f>
        <v>0.214</v>
      </c>
    </row>
    <row r="29" spans="1:17">
      <c r="A29" s="296" t="s">
        <v>40</v>
      </c>
      <c r="B29" s="297" t="s">
        <v>41</v>
      </c>
      <c r="C29" s="297" t="s">
        <v>14</v>
      </c>
      <c r="D29" s="297"/>
      <c r="E29" s="298">
        <f>E30</f>
        <v>50</v>
      </c>
      <c r="F29" s="473">
        <f>F30</f>
        <v>50</v>
      </c>
      <c r="G29" s="486">
        <f>G30</f>
        <v>50</v>
      </c>
      <c r="J29" s="9"/>
      <c r="K29" s="10"/>
      <c r="L29" s="9"/>
      <c r="M29" s="10"/>
      <c r="N29" s="9"/>
      <c r="O29" s="10"/>
      <c r="P29" s="571">
        <f>P30</f>
        <v>0</v>
      </c>
      <c r="Q29" s="415">
        <f t="shared" si="7"/>
        <v>0</v>
      </c>
    </row>
    <row r="30" spans="1:17" ht="25.5">
      <c r="A30" s="11" t="s">
        <v>18</v>
      </c>
      <c r="B30" s="12" t="s">
        <v>41</v>
      </c>
      <c r="C30" s="12" t="s">
        <v>19</v>
      </c>
      <c r="D30" s="12" t="s">
        <v>39</v>
      </c>
      <c r="E30" s="15">
        <v>50</v>
      </c>
      <c r="F30" s="472">
        <f>E30+J30+K30</f>
        <v>50</v>
      </c>
      <c r="G30" s="14">
        <f>'прил.5 ВЕДОМ.СТР.РАСХ.'!E30</f>
        <v>50</v>
      </c>
      <c r="J30" s="9"/>
      <c r="K30" s="10"/>
      <c r="L30" s="9"/>
      <c r="M30" s="10"/>
      <c r="N30" s="9"/>
      <c r="O30" s="10"/>
      <c r="P30" s="440">
        <f>'прил.5 ВЕДОМ.СТР.РАСХ.'!K30</f>
        <v>0</v>
      </c>
      <c r="Q30" s="386">
        <f t="shared" si="7"/>
        <v>0</v>
      </c>
    </row>
    <row r="31" spans="1:17" ht="38.25">
      <c r="A31" s="296" t="s">
        <v>42</v>
      </c>
      <c r="B31" s="297" t="s">
        <v>43</v>
      </c>
      <c r="C31" s="297" t="s">
        <v>14</v>
      </c>
      <c r="D31" s="297"/>
      <c r="E31" s="298">
        <f>E32</f>
        <v>50</v>
      </c>
      <c r="F31" s="473">
        <f>F32</f>
        <v>50</v>
      </c>
      <c r="G31" s="486">
        <f>G32</f>
        <v>50</v>
      </c>
      <c r="J31" s="9"/>
      <c r="K31" s="10"/>
      <c r="L31" s="9"/>
      <c r="M31" s="10"/>
      <c r="N31" s="9"/>
      <c r="O31" s="10"/>
      <c r="P31" s="571">
        <f>P32</f>
        <v>21.4</v>
      </c>
      <c r="Q31" s="415">
        <f t="shared" si="7"/>
        <v>0.42799999999999999</v>
      </c>
    </row>
    <row r="32" spans="1:17" ht="25.5">
      <c r="A32" s="11" t="s">
        <v>18</v>
      </c>
      <c r="B32" s="12" t="s">
        <v>43</v>
      </c>
      <c r="C32" s="12" t="s">
        <v>19</v>
      </c>
      <c r="D32" s="12" t="s">
        <v>39</v>
      </c>
      <c r="E32" s="15">
        <v>50</v>
      </c>
      <c r="F32" s="472">
        <f>E32+J32+K32</f>
        <v>50</v>
      </c>
      <c r="G32" s="14">
        <f>'прил.5 ВЕДОМ.СТР.РАСХ.'!E32</f>
        <v>50</v>
      </c>
      <c r="J32" s="9"/>
      <c r="K32" s="10"/>
      <c r="L32" s="9"/>
      <c r="M32" s="10"/>
      <c r="N32" s="9"/>
      <c r="O32" s="10"/>
      <c r="P32" s="440">
        <f>'прил.5 ВЕДОМ.СТР.РАСХ.'!K32</f>
        <v>21.4</v>
      </c>
      <c r="Q32" s="386">
        <f t="shared" si="7"/>
        <v>0.42799999999999999</v>
      </c>
    </row>
    <row r="33" spans="1:17">
      <c r="A33" s="299" t="s">
        <v>44</v>
      </c>
      <c r="B33" s="300"/>
      <c r="C33" s="300" t="s">
        <v>14</v>
      </c>
      <c r="D33" s="300" t="s">
        <v>45</v>
      </c>
      <c r="E33" s="301">
        <f t="shared" ref="E33:G34" si="8">E34</f>
        <v>50</v>
      </c>
      <c r="F33" s="474">
        <f t="shared" si="8"/>
        <v>50</v>
      </c>
      <c r="G33" s="488">
        <f t="shared" si="8"/>
        <v>50</v>
      </c>
      <c r="J33" s="9"/>
      <c r="K33" s="10"/>
      <c r="L33" s="9"/>
      <c r="M33" s="10"/>
      <c r="N33" s="9"/>
      <c r="O33" s="10"/>
      <c r="P33" s="574">
        <f t="shared" ref="P33:P34" si="9">P34</f>
        <v>25.16253</v>
      </c>
      <c r="Q33" s="416">
        <f t="shared" si="7"/>
        <v>0.50325059999999999</v>
      </c>
    </row>
    <row r="34" spans="1:17" ht="25.5">
      <c r="A34" s="296" t="s">
        <v>46</v>
      </c>
      <c r="B34" s="297" t="s">
        <v>47</v>
      </c>
      <c r="C34" s="297" t="s">
        <v>14</v>
      </c>
      <c r="D34" s="297"/>
      <c r="E34" s="298">
        <f t="shared" si="8"/>
        <v>50</v>
      </c>
      <c r="F34" s="473">
        <f t="shared" si="8"/>
        <v>50</v>
      </c>
      <c r="G34" s="486">
        <f t="shared" si="8"/>
        <v>50</v>
      </c>
      <c r="J34" s="9"/>
      <c r="K34" s="10"/>
      <c r="L34" s="9"/>
      <c r="M34" s="10"/>
      <c r="N34" s="9"/>
      <c r="O34" s="10"/>
      <c r="P34" s="571">
        <f t="shared" si="9"/>
        <v>25.16253</v>
      </c>
      <c r="Q34" s="415">
        <f t="shared" si="7"/>
        <v>0.50325059999999999</v>
      </c>
    </row>
    <row r="35" spans="1:17" ht="25.5">
      <c r="A35" s="11" t="s">
        <v>18</v>
      </c>
      <c r="B35" s="12" t="s">
        <v>47</v>
      </c>
      <c r="C35" s="12" t="s">
        <v>19</v>
      </c>
      <c r="D35" s="12" t="s">
        <v>45</v>
      </c>
      <c r="E35" s="15">
        <v>50</v>
      </c>
      <c r="F35" s="472">
        <f>E35+J35+K35</f>
        <v>50</v>
      </c>
      <c r="G35" s="14">
        <f>'прил.5 ВЕДОМ.СТР.РАСХ.'!E35</f>
        <v>50</v>
      </c>
      <c r="J35" s="9"/>
      <c r="K35" s="10"/>
      <c r="L35" s="9"/>
      <c r="M35" s="10"/>
      <c r="N35" s="9"/>
      <c r="O35" s="10"/>
      <c r="P35" s="440">
        <f>'прил.5 ВЕДОМ.СТР.РАСХ.'!K35</f>
        <v>25.16253</v>
      </c>
      <c r="Q35" s="386">
        <f t="shared" si="7"/>
        <v>0.50325059999999999</v>
      </c>
    </row>
    <row r="36" spans="1:17" ht="25.5">
      <c r="A36" s="296" t="s">
        <v>48</v>
      </c>
      <c r="B36" s="297"/>
      <c r="C36" s="297"/>
      <c r="D36" s="297" t="s">
        <v>49</v>
      </c>
      <c r="E36" s="298">
        <f t="shared" ref="E36:G37" si="10">E37</f>
        <v>10</v>
      </c>
      <c r="F36" s="473">
        <f t="shared" si="10"/>
        <v>10</v>
      </c>
      <c r="G36" s="486">
        <f t="shared" si="10"/>
        <v>10</v>
      </c>
      <c r="J36" s="9"/>
      <c r="K36" s="10"/>
      <c r="L36" s="9"/>
      <c r="M36" s="10"/>
      <c r="N36" s="9"/>
      <c r="O36" s="10"/>
      <c r="P36" s="571">
        <f t="shared" ref="P36:P37" si="11">P37</f>
        <v>10</v>
      </c>
      <c r="Q36" s="415">
        <f t="shared" si="7"/>
        <v>1</v>
      </c>
    </row>
    <row r="37" spans="1:17">
      <c r="A37" s="296" t="s">
        <v>50</v>
      </c>
      <c r="B37" s="297" t="s">
        <v>51</v>
      </c>
      <c r="C37" s="297" t="s">
        <v>14</v>
      </c>
      <c r="D37" s="297"/>
      <c r="E37" s="298">
        <f t="shared" si="10"/>
        <v>10</v>
      </c>
      <c r="F37" s="473">
        <f t="shared" si="10"/>
        <v>10</v>
      </c>
      <c r="G37" s="486">
        <f t="shared" si="10"/>
        <v>10</v>
      </c>
      <c r="J37" s="9"/>
      <c r="K37" s="10"/>
      <c r="L37" s="9"/>
      <c r="M37" s="10"/>
      <c r="N37" s="9"/>
      <c r="O37" s="10"/>
      <c r="P37" s="571">
        <f t="shared" si="11"/>
        <v>10</v>
      </c>
      <c r="Q37" s="415">
        <f t="shared" si="7"/>
        <v>1</v>
      </c>
    </row>
    <row r="38" spans="1:17" ht="26.25" thickBot="1">
      <c r="A38" s="16" t="s">
        <v>18</v>
      </c>
      <c r="B38" s="17" t="s">
        <v>51</v>
      </c>
      <c r="C38" s="17" t="s">
        <v>19</v>
      </c>
      <c r="D38" s="17" t="s">
        <v>49</v>
      </c>
      <c r="E38" s="22">
        <v>10</v>
      </c>
      <c r="F38" s="472">
        <f>E38+J38+K38</f>
        <v>10</v>
      </c>
      <c r="G38" s="487">
        <f>'прил.5 ВЕДОМ.СТР.РАСХ.'!E38</f>
        <v>10</v>
      </c>
      <c r="J38" s="9"/>
      <c r="K38" s="10"/>
      <c r="L38" s="9"/>
      <c r="M38" s="10"/>
      <c r="N38" s="9"/>
      <c r="O38" s="10"/>
      <c r="P38" s="573">
        <f>'прил.5 ВЕДОМ.СТР.РАСХ.'!K38</f>
        <v>10</v>
      </c>
      <c r="Q38" s="390">
        <f t="shared" si="7"/>
        <v>1</v>
      </c>
    </row>
    <row r="39" spans="1:17" ht="14.25">
      <c r="A39" s="230" t="s">
        <v>52</v>
      </c>
      <c r="B39" s="649" t="s">
        <v>53</v>
      </c>
      <c r="C39" s="641"/>
      <c r="D39" s="641"/>
      <c r="E39" s="628">
        <f>E41+E46+E49+E60</f>
        <v>10992</v>
      </c>
      <c r="F39" s="692">
        <f>F41+F46+F49+F60</f>
        <v>10862</v>
      </c>
      <c r="G39" s="694">
        <f>G41+G46+G49+G60</f>
        <v>15017.78947</v>
      </c>
      <c r="J39" s="9"/>
      <c r="K39" s="10"/>
      <c r="L39" s="9"/>
      <c r="M39" s="10"/>
      <c r="N39" s="9"/>
      <c r="O39" s="10"/>
      <c r="P39" s="696">
        <f>P41+P46+P49+P60</f>
        <v>13546.607400000001</v>
      </c>
      <c r="Q39" s="622">
        <f t="shared" si="7"/>
        <v>0.9020373755445914</v>
      </c>
    </row>
    <row r="40" spans="1:17" ht="51.75" thickBot="1">
      <c r="A40" s="232" t="s">
        <v>54</v>
      </c>
      <c r="B40" s="650"/>
      <c r="C40" s="642"/>
      <c r="D40" s="642"/>
      <c r="E40" s="629"/>
      <c r="F40" s="693"/>
      <c r="G40" s="695"/>
      <c r="J40" s="9"/>
      <c r="K40" s="10"/>
      <c r="L40" s="9"/>
      <c r="M40" s="10"/>
      <c r="N40" s="9"/>
      <c r="O40" s="10"/>
      <c r="P40" s="697"/>
      <c r="Q40" s="623"/>
    </row>
    <row r="41" spans="1:17">
      <c r="A41" s="299" t="s">
        <v>55</v>
      </c>
      <c r="B41" s="300"/>
      <c r="C41" s="300"/>
      <c r="D41" s="300" t="s">
        <v>56</v>
      </c>
      <c r="E41" s="301">
        <f>E42+E44</f>
        <v>885</v>
      </c>
      <c r="F41" s="474">
        <f>F42+F44</f>
        <v>885</v>
      </c>
      <c r="G41" s="488">
        <f>G42+G44</f>
        <v>1205</v>
      </c>
      <c r="J41" s="9"/>
      <c r="K41" s="10"/>
      <c r="L41" s="9"/>
      <c r="M41" s="10"/>
      <c r="N41" s="9"/>
      <c r="O41" s="10"/>
      <c r="P41" s="574">
        <f>P42+P44</f>
        <v>1155.9472599999999</v>
      </c>
      <c r="Q41" s="416">
        <f>P41/G41</f>
        <v>0.95929233195020736</v>
      </c>
    </row>
    <row r="42" spans="1:17" ht="38.25">
      <c r="A42" s="296" t="s">
        <v>57</v>
      </c>
      <c r="B42" s="297" t="s">
        <v>58</v>
      </c>
      <c r="C42" s="297"/>
      <c r="D42" s="297"/>
      <c r="E42" s="298">
        <f>E43</f>
        <v>700</v>
      </c>
      <c r="F42" s="473">
        <f>F43</f>
        <v>700</v>
      </c>
      <c r="G42" s="486">
        <f>G43</f>
        <v>970</v>
      </c>
      <c r="J42" s="9"/>
      <c r="K42" s="10"/>
      <c r="L42" s="9"/>
      <c r="M42" s="10"/>
      <c r="N42" s="9"/>
      <c r="O42" s="10"/>
      <c r="P42" s="571">
        <f>P43</f>
        <v>951.30872999999997</v>
      </c>
      <c r="Q42" s="415">
        <f>Q43</f>
        <v>0.98073064948453603</v>
      </c>
    </row>
    <row r="43" spans="1:17" ht="25.5">
      <c r="A43" s="11" t="s">
        <v>59</v>
      </c>
      <c r="B43" s="12" t="s">
        <v>58</v>
      </c>
      <c r="C43" s="12" t="s">
        <v>60</v>
      </c>
      <c r="D43" s="12" t="s">
        <v>56</v>
      </c>
      <c r="E43" s="15">
        <v>700</v>
      </c>
      <c r="F43" s="472">
        <f>E43+J43+K43</f>
        <v>700</v>
      </c>
      <c r="G43" s="14">
        <f>'прил.5 ВЕДОМ.СТР.РАСХ.'!E43</f>
        <v>970</v>
      </c>
      <c r="J43" s="9"/>
      <c r="K43" s="10"/>
      <c r="L43" s="9"/>
      <c r="M43" s="10"/>
      <c r="N43" s="9">
        <v>270</v>
      </c>
      <c r="O43" s="10"/>
      <c r="P43" s="440">
        <f>'прил.5 ВЕДОМ.СТР.РАСХ.'!K43</f>
        <v>951.30872999999997</v>
      </c>
      <c r="Q43" s="386">
        <f t="shared" ref="Q43:Q71" si="12">P43/G43</f>
        <v>0.98073064948453603</v>
      </c>
    </row>
    <row r="44" spans="1:17">
      <c r="A44" s="296" t="s">
        <v>61</v>
      </c>
      <c r="B44" s="297" t="s">
        <v>62</v>
      </c>
      <c r="C44" s="297"/>
      <c r="D44" s="297"/>
      <c r="E44" s="298">
        <f>E45</f>
        <v>185</v>
      </c>
      <c r="F44" s="473">
        <f>F45</f>
        <v>185</v>
      </c>
      <c r="G44" s="486">
        <f>G45</f>
        <v>235</v>
      </c>
      <c r="J44" s="9"/>
      <c r="K44" s="10"/>
      <c r="L44" s="9"/>
      <c r="M44" s="10"/>
      <c r="N44" s="9"/>
      <c r="O44" s="10"/>
      <c r="P44" s="571">
        <f>P45</f>
        <v>204.63853</v>
      </c>
      <c r="Q44" s="415">
        <f t="shared" si="12"/>
        <v>0.8708022553191489</v>
      </c>
    </row>
    <row r="45" spans="1:17" ht="25.5">
      <c r="A45" s="11" t="s">
        <v>18</v>
      </c>
      <c r="B45" s="12" t="s">
        <v>62</v>
      </c>
      <c r="C45" s="12" t="s">
        <v>19</v>
      </c>
      <c r="D45" s="12" t="s">
        <v>56</v>
      </c>
      <c r="E45" s="15">
        <v>185</v>
      </c>
      <c r="F45" s="472">
        <f>E45+J45+K45</f>
        <v>185</v>
      </c>
      <c r="G45" s="14">
        <f>'прил.5 ВЕДОМ.СТР.РАСХ.'!E45</f>
        <v>235</v>
      </c>
      <c r="J45" s="9"/>
      <c r="K45" s="10"/>
      <c r="L45" s="9"/>
      <c r="M45" s="10"/>
      <c r="N45" s="9">
        <v>50</v>
      </c>
      <c r="O45" s="10"/>
      <c r="P45" s="440">
        <f>'прил.5 ВЕДОМ.СТР.РАСХ.'!K45</f>
        <v>204.63853</v>
      </c>
      <c r="Q45" s="386">
        <f t="shared" si="12"/>
        <v>0.8708022553191489</v>
      </c>
    </row>
    <row r="46" spans="1:17">
      <c r="A46" s="299" t="s">
        <v>63</v>
      </c>
      <c r="B46" s="300"/>
      <c r="C46" s="300"/>
      <c r="D46" s="300" t="s">
        <v>64</v>
      </c>
      <c r="E46" s="301">
        <f t="shared" ref="E46:G47" si="13">E47</f>
        <v>185</v>
      </c>
      <c r="F46" s="474">
        <f t="shared" si="13"/>
        <v>185</v>
      </c>
      <c r="G46" s="488">
        <f t="shared" si="13"/>
        <v>385</v>
      </c>
      <c r="J46" s="9"/>
      <c r="K46" s="10"/>
      <c r="L46" s="9"/>
      <c r="M46" s="10"/>
      <c r="N46" s="9"/>
      <c r="O46" s="10"/>
      <c r="P46" s="574">
        <f t="shared" ref="P46:P47" si="14">P47</f>
        <v>261.32988</v>
      </c>
      <c r="Q46" s="416">
        <f t="shared" si="12"/>
        <v>0.6787789090909091</v>
      </c>
    </row>
    <row r="47" spans="1:17">
      <c r="A47" s="296" t="s">
        <v>65</v>
      </c>
      <c r="B47" s="297" t="s">
        <v>66</v>
      </c>
      <c r="C47" s="297"/>
      <c r="D47" s="297"/>
      <c r="E47" s="298">
        <f t="shared" si="13"/>
        <v>185</v>
      </c>
      <c r="F47" s="473">
        <f t="shared" si="13"/>
        <v>185</v>
      </c>
      <c r="G47" s="486">
        <f t="shared" si="13"/>
        <v>385</v>
      </c>
      <c r="J47" s="9"/>
      <c r="K47" s="10"/>
      <c r="L47" s="9"/>
      <c r="M47" s="10"/>
      <c r="N47" s="9"/>
      <c r="O47" s="10"/>
      <c r="P47" s="571">
        <f t="shared" si="14"/>
        <v>261.32988</v>
      </c>
      <c r="Q47" s="415">
        <f t="shared" si="12"/>
        <v>0.6787789090909091</v>
      </c>
    </row>
    <row r="48" spans="1:17" ht="25.5">
      <c r="A48" s="11" t="s">
        <v>18</v>
      </c>
      <c r="B48" s="12" t="s">
        <v>66</v>
      </c>
      <c r="C48" s="12" t="s">
        <v>19</v>
      </c>
      <c r="D48" s="12" t="s">
        <v>64</v>
      </c>
      <c r="E48" s="15">
        <v>185</v>
      </c>
      <c r="F48" s="472">
        <f>E48+J48+K48</f>
        <v>185</v>
      </c>
      <c r="G48" s="14">
        <f>'прил.5 ВЕДОМ.СТР.РАСХ.'!E48</f>
        <v>385</v>
      </c>
      <c r="J48" s="9"/>
      <c r="K48" s="10"/>
      <c r="L48" s="9"/>
      <c r="M48" s="10"/>
      <c r="N48" s="9"/>
      <c r="O48" s="10"/>
      <c r="P48" s="440">
        <f>'прил.5 ВЕДОМ.СТР.РАСХ.'!K48</f>
        <v>261.32988</v>
      </c>
      <c r="Q48" s="386">
        <f t="shared" si="12"/>
        <v>0.6787789090909091</v>
      </c>
    </row>
    <row r="49" spans="1:17">
      <c r="A49" s="296" t="s">
        <v>67</v>
      </c>
      <c r="B49" s="297"/>
      <c r="C49" s="297"/>
      <c r="D49" s="297" t="s">
        <v>68</v>
      </c>
      <c r="E49" s="298">
        <f>E50+E52+E54+E56</f>
        <v>4322</v>
      </c>
      <c r="F49" s="473">
        <f>F50+F52+F54+F56+F58</f>
        <v>4192</v>
      </c>
      <c r="G49" s="486">
        <f>G50+G52+G54+G56+G58</f>
        <v>6217</v>
      </c>
      <c r="J49" s="9"/>
      <c r="K49" s="10"/>
      <c r="L49" s="9"/>
      <c r="M49" s="10"/>
      <c r="N49" s="9"/>
      <c r="O49" s="10"/>
      <c r="P49" s="571">
        <f>P50+P52+P54+P56+P58</f>
        <v>5593.4671499999995</v>
      </c>
      <c r="Q49" s="415">
        <f t="shared" si="12"/>
        <v>0.89970518738941607</v>
      </c>
    </row>
    <row r="50" spans="1:17" ht="25.5">
      <c r="A50" s="296" t="s">
        <v>69</v>
      </c>
      <c r="B50" s="297" t="s">
        <v>70</v>
      </c>
      <c r="C50" s="12"/>
      <c r="D50" s="297"/>
      <c r="E50" s="298">
        <f>E51</f>
        <v>1105</v>
      </c>
      <c r="F50" s="473">
        <f>F51</f>
        <v>1105</v>
      </c>
      <c r="G50" s="486">
        <f>G51</f>
        <v>1055</v>
      </c>
      <c r="J50" s="9"/>
      <c r="K50" s="10"/>
      <c r="L50" s="9"/>
      <c r="M50" s="10"/>
      <c r="N50" s="9"/>
      <c r="O50" s="10"/>
      <c r="P50" s="571">
        <f>P51</f>
        <v>1055</v>
      </c>
      <c r="Q50" s="415">
        <f t="shared" si="12"/>
        <v>1</v>
      </c>
    </row>
    <row r="51" spans="1:17" ht="25.5">
      <c r="A51" s="11" t="s">
        <v>18</v>
      </c>
      <c r="B51" s="12" t="s">
        <v>70</v>
      </c>
      <c r="C51" s="12" t="s">
        <v>19</v>
      </c>
      <c r="D51" s="12" t="s">
        <v>68</v>
      </c>
      <c r="E51" s="15">
        <v>1105</v>
      </c>
      <c r="F51" s="472">
        <f>E51+J51+K51</f>
        <v>1105</v>
      </c>
      <c r="G51" s="14">
        <f>'прил.5 ВЕДОМ.СТР.РАСХ.'!E51</f>
        <v>1055</v>
      </c>
      <c r="J51" s="302"/>
      <c r="K51" s="49"/>
      <c r="L51" s="302">
        <v>-300</v>
      </c>
      <c r="M51" s="10"/>
      <c r="N51" s="9">
        <v>130</v>
      </c>
      <c r="O51" s="10"/>
      <c r="P51" s="440">
        <f>'прил.5 ВЕДОМ.СТР.РАСХ.'!K51</f>
        <v>1055</v>
      </c>
      <c r="Q51" s="386">
        <f t="shared" si="12"/>
        <v>1</v>
      </c>
    </row>
    <row r="52" spans="1:17" ht="25.5">
      <c r="A52" s="296" t="s">
        <v>71</v>
      </c>
      <c r="B52" s="297" t="s">
        <v>72</v>
      </c>
      <c r="C52" s="12"/>
      <c r="D52" s="297"/>
      <c r="E52" s="298">
        <f>E53</f>
        <v>100</v>
      </c>
      <c r="F52" s="473">
        <f>F53</f>
        <v>100</v>
      </c>
      <c r="G52" s="486">
        <f>G53</f>
        <v>100</v>
      </c>
      <c r="J52" s="302"/>
      <c r="K52" s="49"/>
      <c r="L52" s="302"/>
      <c r="M52" s="10"/>
      <c r="N52" s="9"/>
      <c r="O52" s="10"/>
      <c r="P52" s="571">
        <f>P53</f>
        <v>100</v>
      </c>
      <c r="Q52" s="415">
        <f t="shared" si="12"/>
        <v>1</v>
      </c>
    </row>
    <row r="53" spans="1:17" ht="25.5">
      <c r="A53" s="11" t="s">
        <v>18</v>
      </c>
      <c r="B53" s="12" t="s">
        <v>72</v>
      </c>
      <c r="C53" s="12" t="s">
        <v>19</v>
      </c>
      <c r="D53" s="12" t="s">
        <v>68</v>
      </c>
      <c r="E53" s="15">
        <v>100</v>
      </c>
      <c r="F53" s="472">
        <f>E53+J53+K53</f>
        <v>100</v>
      </c>
      <c r="G53" s="14">
        <f>'прил.5 ВЕДОМ.СТР.РАСХ.'!E53</f>
        <v>100</v>
      </c>
      <c r="J53" s="302"/>
      <c r="K53" s="49"/>
      <c r="L53" s="302"/>
      <c r="M53" s="10"/>
      <c r="N53" s="9"/>
      <c r="O53" s="10"/>
      <c r="P53" s="440">
        <f>'прил.5 ВЕДОМ.СТР.РАСХ.'!K53</f>
        <v>100</v>
      </c>
      <c r="Q53" s="386">
        <f t="shared" si="12"/>
        <v>1</v>
      </c>
    </row>
    <row r="54" spans="1:17" ht="25.5">
      <c r="A54" s="296" t="s">
        <v>73</v>
      </c>
      <c r="B54" s="297" t="s">
        <v>74</v>
      </c>
      <c r="C54" s="297"/>
      <c r="D54" s="297"/>
      <c r="E54" s="298">
        <f>E55</f>
        <v>50</v>
      </c>
      <c r="F54" s="473">
        <f>F55</f>
        <v>50</v>
      </c>
      <c r="G54" s="486">
        <f>G55</f>
        <v>50</v>
      </c>
      <c r="J54" s="302"/>
      <c r="K54" s="49"/>
      <c r="L54" s="302"/>
      <c r="M54" s="10"/>
      <c r="N54" s="9"/>
      <c r="O54" s="10"/>
      <c r="P54" s="571">
        <f>P55</f>
        <v>50</v>
      </c>
      <c r="Q54" s="415">
        <f t="shared" si="12"/>
        <v>1</v>
      </c>
    </row>
    <row r="55" spans="1:17" ht="25.5">
      <c r="A55" s="11" t="s">
        <v>24</v>
      </c>
      <c r="B55" s="12" t="s">
        <v>74</v>
      </c>
      <c r="C55" s="12" t="s">
        <v>19</v>
      </c>
      <c r="D55" s="12" t="s">
        <v>68</v>
      </c>
      <c r="E55" s="15">
        <v>50</v>
      </c>
      <c r="F55" s="472">
        <f>E55+J55+K55</f>
        <v>50</v>
      </c>
      <c r="G55" s="14">
        <f>'прил.5 ВЕДОМ.СТР.РАСХ.'!E55</f>
        <v>50</v>
      </c>
      <c r="J55" s="302"/>
      <c r="K55" s="49"/>
      <c r="L55" s="302"/>
      <c r="M55" s="10"/>
      <c r="N55" s="9"/>
      <c r="O55" s="10"/>
      <c r="P55" s="440">
        <f>'прил.5 ВЕДОМ.СТР.РАСХ.'!K55</f>
        <v>50</v>
      </c>
      <c r="Q55" s="386">
        <f t="shared" si="12"/>
        <v>1</v>
      </c>
    </row>
    <row r="56" spans="1:17" ht="25.5">
      <c r="A56" s="296" t="s">
        <v>75</v>
      </c>
      <c r="B56" s="297" t="s">
        <v>76</v>
      </c>
      <c r="C56" s="12"/>
      <c r="D56" s="297"/>
      <c r="E56" s="298">
        <f>E57</f>
        <v>3067</v>
      </c>
      <c r="F56" s="473">
        <f>F57</f>
        <v>2937</v>
      </c>
      <c r="G56" s="486">
        <f>G57</f>
        <v>4512</v>
      </c>
      <c r="J56" s="302"/>
      <c r="K56" s="49"/>
      <c r="L56" s="302"/>
      <c r="M56" s="10"/>
      <c r="N56" s="9"/>
      <c r="O56" s="10"/>
      <c r="P56" s="571">
        <f>P57</f>
        <v>3888.7118499999997</v>
      </c>
      <c r="Q56" s="415">
        <f t="shared" si="12"/>
        <v>0.86185989583333322</v>
      </c>
    </row>
    <row r="57" spans="1:17" ht="25.5">
      <c r="A57" s="11" t="s">
        <v>18</v>
      </c>
      <c r="B57" s="12" t="s">
        <v>76</v>
      </c>
      <c r="C57" s="12" t="s">
        <v>19</v>
      </c>
      <c r="D57" s="12" t="s">
        <v>68</v>
      </c>
      <c r="E57" s="15">
        <v>3067</v>
      </c>
      <c r="F57" s="472">
        <f>E57+J57+K57</f>
        <v>2937</v>
      </c>
      <c r="G57" s="37">
        <f>'прил.5 ВЕДОМ.СТР.РАСХ.'!E57</f>
        <v>4512</v>
      </c>
      <c r="J57" s="26">
        <v>200</v>
      </c>
      <c r="K57" s="303">
        <v>-330</v>
      </c>
      <c r="L57" s="303">
        <v>300</v>
      </c>
      <c r="M57" s="24"/>
      <c r="N57" s="9">
        <f>100+50+35+40+5+100+500</f>
        <v>830</v>
      </c>
      <c r="O57" s="10"/>
      <c r="P57" s="534">
        <f>'прил.5 ВЕДОМ.СТР.РАСХ.'!K57</f>
        <v>3888.7118499999997</v>
      </c>
      <c r="Q57" s="388">
        <f t="shared" si="12"/>
        <v>0.86185989583333322</v>
      </c>
    </row>
    <row r="58" spans="1:17" ht="38.25">
      <c r="A58" s="296" t="s">
        <v>77</v>
      </c>
      <c r="B58" s="297" t="s">
        <v>78</v>
      </c>
      <c r="C58" s="297"/>
      <c r="D58" s="297"/>
      <c r="E58" s="298">
        <v>0</v>
      </c>
      <c r="F58" s="312">
        <f>F59</f>
        <v>0</v>
      </c>
      <c r="G58" s="313">
        <f>G59</f>
        <v>500</v>
      </c>
      <c r="J58" s="26"/>
      <c r="K58" s="303"/>
      <c r="L58" s="304"/>
      <c r="M58" s="24"/>
      <c r="N58" s="9"/>
      <c r="O58" s="10"/>
      <c r="P58" s="570">
        <f>P59</f>
        <v>499.75529999999998</v>
      </c>
      <c r="Q58" s="414">
        <f t="shared" si="12"/>
        <v>0.99951059999999992</v>
      </c>
    </row>
    <row r="59" spans="1:17" ht="25.5">
      <c r="A59" s="11" t="s">
        <v>18</v>
      </c>
      <c r="B59" s="12" t="s">
        <v>78</v>
      </c>
      <c r="C59" s="12" t="s">
        <v>19</v>
      </c>
      <c r="D59" s="12" t="s">
        <v>68</v>
      </c>
      <c r="E59" s="15">
        <v>0</v>
      </c>
      <c r="F59" s="472">
        <f>E59+J59+K59</f>
        <v>0</v>
      </c>
      <c r="G59" s="37">
        <f>'прил.5 ВЕДОМ.СТР.РАСХ.'!E59</f>
        <v>500</v>
      </c>
      <c r="J59" s="20"/>
      <c r="K59" s="24"/>
      <c r="L59" s="25"/>
      <c r="M59" s="24"/>
      <c r="N59" s="9">
        <v>500</v>
      </c>
      <c r="O59" s="10"/>
      <c r="P59" s="534">
        <f>'прил.5 ВЕДОМ.СТР.РАСХ.'!K59</f>
        <v>499.75529999999998</v>
      </c>
      <c r="Q59" s="388">
        <f t="shared" si="12"/>
        <v>0.99951059999999992</v>
      </c>
    </row>
    <row r="60" spans="1:17">
      <c r="A60" s="296" t="s">
        <v>79</v>
      </c>
      <c r="B60" s="297"/>
      <c r="C60" s="297"/>
      <c r="D60" s="297" t="s">
        <v>80</v>
      </c>
      <c r="E60" s="298">
        <f>E61+E63+E65+E69</f>
        <v>5600</v>
      </c>
      <c r="F60" s="473">
        <f>F61+F63+F65+F69</f>
        <v>5600</v>
      </c>
      <c r="G60" s="486">
        <f>G61+G63+G65+G69+G67</f>
        <v>7210.7894699999997</v>
      </c>
      <c r="J60" s="9"/>
      <c r="K60" s="10"/>
      <c r="L60" s="9"/>
      <c r="M60" s="10"/>
      <c r="N60" s="9"/>
      <c r="O60" s="10"/>
      <c r="P60" s="571">
        <f>P61+P63+P65+P69+P67</f>
        <v>6535.8631100000002</v>
      </c>
      <c r="Q60" s="415">
        <f t="shared" si="12"/>
        <v>0.90640049015326485</v>
      </c>
    </row>
    <row r="61" spans="1:17" ht="38.25">
      <c r="A61" s="296" t="s">
        <v>81</v>
      </c>
      <c r="B61" s="297" t="s">
        <v>82</v>
      </c>
      <c r="C61" s="297"/>
      <c r="D61" s="297"/>
      <c r="E61" s="298">
        <f>E62</f>
        <v>1200</v>
      </c>
      <c r="F61" s="473">
        <f>F62</f>
        <v>1200</v>
      </c>
      <c r="G61" s="486">
        <f>G62</f>
        <v>1548</v>
      </c>
      <c r="J61" s="9"/>
      <c r="K61" s="10"/>
      <c r="L61" s="9"/>
      <c r="M61" s="10"/>
      <c r="N61" s="9"/>
      <c r="O61" s="10"/>
      <c r="P61" s="571">
        <f>P62</f>
        <v>1324.9690000000001</v>
      </c>
      <c r="Q61" s="415">
        <f t="shared" si="12"/>
        <v>0.85592312661498715</v>
      </c>
    </row>
    <row r="62" spans="1:17" ht="25.5">
      <c r="A62" s="11" t="s">
        <v>18</v>
      </c>
      <c r="B62" s="12" t="s">
        <v>82</v>
      </c>
      <c r="C62" s="12" t="s">
        <v>19</v>
      </c>
      <c r="D62" s="12" t="s">
        <v>80</v>
      </c>
      <c r="E62" s="15">
        <v>1200</v>
      </c>
      <c r="F62" s="472">
        <f>E62+J62+K62</f>
        <v>1200</v>
      </c>
      <c r="G62" s="14">
        <f>'прил.5 ВЕДОМ.СТР.РАСХ.'!E62</f>
        <v>1548</v>
      </c>
      <c r="J62" s="9"/>
      <c r="K62" s="10"/>
      <c r="L62" s="9"/>
      <c r="M62" s="10"/>
      <c r="N62" s="9"/>
      <c r="O62" s="10"/>
      <c r="P62" s="440">
        <f>'прил.5 ВЕДОМ.СТР.РАСХ.'!K62</f>
        <v>1324.9690000000001</v>
      </c>
      <c r="Q62" s="386">
        <f t="shared" si="12"/>
        <v>0.85592312661498715</v>
      </c>
    </row>
    <row r="63" spans="1:17" ht="25.5">
      <c r="A63" s="296" t="s">
        <v>83</v>
      </c>
      <c r="B63" s="297" t="s">
        <v>84</v>
      </c>
      <c r="C63" s="297"/>
      <c r="D63" s="297"/>
      <c r="E63" s="298">
        <f>E64</f>
        <v>100</v>
      </c>
      <c r="F63" s="473">
        <f>F64</f>
        <v>100</v>
      </c>
      <c r="G63" s="486">
        <f>G64</f>
        <v>100</v>
      </c>
      <c r="J63" s="9"/>
      <c r="K63" s="10"/>
      <c r="L63" s="9"/>
      <c r="M63" s="10"/>
      <c r="N63" s="9"/>
      <c r="O63" s="10"/>
      <c r="P63" s="571">
        <f>P64</f>
        <v>100</v>
      </c>
      <c r="Q63" s="415">
        <f t="shared" si="12"/>
        <v>1</v>
      </c>
    </row>
    <row r="64" spans="1:17" ht="25.5">
      <c r="A64" s="11" t="s">
        <v>18</v>
      </c>
      <c r="B64" s="12" t="s">
        <v>84</v>
      </c>
      <c r="C64" s="12" t="s">
        <v>19</v>
      </c>
      <c r="D64" s="12" t="s">
        <v>80</v>
      </c>
      <c r="E64" s="15">
        <v>100</v>
      </c>
      <c r="F64" s="472">
        <f>E64+J64+K64</f>
        <v>100</v>
      </c>
      <c r="G64" s="14">
        <f>'прил.5 ВЕДОМ.СТР.РАСХ.'!E64</f>
        <v>100</v>
      </c>
      <c r="J64" s="9"/>
      <c r="K64" s="10"/>
      <c r="L64" s="9"/>
      <c r="M64" s="10"/>
      <c r="N64" s="9"/>
      <c r="O64" s="10"/>
      <c r="P64" s="440">
        <f>'прил.5 ВЕДОМ.СТР.РАСХ.'!K64</f>
        <v>100</v>
      </c>
      <c r="Q64" s="386">
        <f t="shared" si="12"/>
        <v>1</v>
      </c>
    </row>
    <row r="65" spans="1:17" ht="25.5">
      <c r="A65" s="296" t="s">
        <v>85</v>
      </c>
      <c r="B65" s="297" t="s">
        <v>86</v>
      </c>
      <c r="C65" s="297"/>
      <c r="D65" s="297"/>
      <c r="E65" s="298">
        <f>E66</f>
        <v>4300</v>
      </c>
      <c r="F65" s="473">
        <f>F66</f>
        <v>4300</v>
      </c>
      <c r="G65" s="486">
        <f>G66</f>
        <v>3813.2894700000002</v>
      </c>
      <c r="J65" s="9"/>
      <c r="K65" s="10"/>
      <c r="L65" s="9"/>
      <c r="M65" s="10"/>
      <c r="N65" s="9"/>
      <c r="O65" s="10"/>
      <c r="P65" s="571">
        <f>P66</f>
        <v>3361.3941100000002</v>
      </c>
      <c r="Q65" s="415">
        <f t="shared" si="12"/>
        <v>0.88149460890520859</v>
      </c>
    </row>
    <row r="66" spans="1:17" ht="25.5">
      <c r="A66" s="16" t="s">
        <v>18</v>
      </c>
      <c r="B66" s="17" t="s">
        <v>86</v>
      </c>
      <c r="C66" s="17" t="s">
        <v>19</v>
      </c>
      <c r="D66" s="17" t="s">
        <v>80</v>
      </c>
      <c r="E66" s="22">
        <v>4300</v>
      </c>
      <c r="F66" s="472">
        <f>E66+J66+K66</f>
        <v>4300</v>
      </c>
      <c r="G66" s="587">
        <f>'прил.5 ВЕДОМ.СТР.РАСХ.'!E66</f>
        <v>3813.2894700000002</v>
      </c>
      <c r="H66" s="305"/>
      <c r="I66" s="306"/>
      <c r="J66" s="49"/>
      <c r="K66" s="307"/>
      <c r="L66" s="308">
        <v>-217.66</v>
      </c>
      <c r="M66" s="309" t="s">
        <v>539</v>
      </c>
      <c r="N66" s="698">
        <v>113.23699999999999</v>
      </c>
      <c r="O66" s="699"/>
      <c r="P66" s="572">
        <f>'прил.5 ВЕДОМ.СТР.РАСХ.'!K66</f>
        <v>3361.3941100000002</v>
      </c>
      <c r="Q66" s="389">
        <f t="shared" si="12"/>
        <v>0.88149460890520859</v>
      </c>
    </row>
    <row r="67" spans="1:17" ht="38.25">
      <c r="A67" s="553" t="s">
        <v>563</v>
      </c>
      <c r="B67" s="294" t="s">
        <v>562</v>
      </c>
      <c r="C67" s="294" t="s">
        <v>19</v>
      </c>
      <c r="D67" s="294"/>
      <c r="E67" s="464">
        <f>E68</f>
        <v>800</v>
      </c>
      <c r="F67" s="472"/>
      <c r="G67" s="554">
        <f>G68</f>
        <v>800</v>
      </c>
      <c r="H67" s="555"/>
      <c r="I67" s="556"/>
      <c r="J67" s="557"/>
      <c r="K67" s="558"/>
      <c r="L67" s="559"/>
      <c r="M67" s="557"/>
      <c r="N67" s="560"/>
      <c r="O67" s="561"/>
      <c r="P67" s="575">
        <f>P68</f>
        <v>800</v>
      </c>
      <c r="Q67" s="415">
        <f t="shared" si="12"/>
        <v>1</v>
      </c>
    </row>
    <row r="68" spans="1:17" ht="25.5">
      <c r="A68" s="29" t="s">
        <v>18</v>
      </c>
      <c r="B68" s="12" t="s">
        <v>562</v>
      </c>
      <c r="C68" s="12" t="s">
        <v>19</v>
      </c>
      <c r="D68" s="17" t="s">
        <v>80</v>
      </c>
      <c r="E68" s="535">
        <v>800</v>
      </c>
      <c r="F68" s="472"/>
      <c r="G68" s="42">
        <f>'прил.5 ВЕДОМ.СТР.РАСХ.'!E68</f>
        <v>800</v>
      </c>
      <c r="H68" s="305"/>
      <c r="I68" s="306"/>
      <c r="J68" s="309"/>
      <c r="K68" s="307"/>
      <c r="L68" s="308"/>
      <c r="M68" s="309"/>
      <c r="N68" s="521"/>
      <c r="O68" s="522"/>
      <c r="P68" s="576">
        <f>'прил.5 ВЕДОМ.СТР.РАСХ.'!K68</f>
        <v>800</v>
      </c>
      <c r="Q68" s="389">
        <f t="shared" si="12"/>
        <v>1</v>
      </c>
    </row>
    <row r="69" spans="1:17" ht="25.5">
      <c r="A69" s="310" t="s">
        <v>85</v>
      </c>
      <c r="B69" s="297" t="s">
        <v>87</v>
      </c>
      <c r="C69" s="297" t="s">
        <v>19</v>
      </c>
      <c r="D69" s="297"/>
      <c r="E69" s="311">
        <f>E70</f>
        <v>0</v>
      </c>
      <c r="F69" s="312">
        <f>F70</f>
        <v>0</v>
      </c>
      <c r="G69" s="313">
        <f>G70</f>
        <v>949.5</v>
      </c>
      <c r="J69" s="302"/>
      <c r="K69" s="49"/>
      <c r="L69" s="308"/>
      <c r="M69" s="49"/>
      <c r="N69" s="9"/>
      <c r="O69" s="10"/>
      <c r="P69" s="577">
        <f>P70</f>
        <v>949.5</v>
      </c>
      <c r="Q69" s="417">
        <f t="shared" si="12"/>
        <v>1</v>
      </c>
    </row>
    <row r="70" spans="1:17" ht="39" thickBot="1">
      <c r="A70" s="314" t="s">
        <v>18</v>
      </c>
      <c r="B70" s="17" t="s">
        <v>87</v>
      </c>
      <c r="C70" s="17" t="s">
        <v>19</v>
      </c>
      <c r="D70" s="17" t="s">
        <v>80</v>
      </c>
      <c r="E70" s="315">
        <v>0</v>
      </c>
      <c r="F70" s="316">
        <f>E70+J70+K70</f>
        <v>0</v>
      </c>
      <c r="G70" s="30">
        <f>'прил.5 ВЕДОМ.СТР.РАСХ.'!E70</f>
        <v>949.5</v>
      </c>
      <c r="H70" s="305"/>
      <c r="I70" s="306"/>
      <c r="J70" s="302"/>
      <c r="K70" s="49"/>
      <c r="L70" s="317" t="s">
        <v>540</v>
      </c>
      <c r="M70" s="49">
        <v>949.5</v>
      </c>
      <c r="N70" s="9">
        <v>800</v>
      </c>
      <c r="O70" s="10"/>
      <c r="P70" s="578">
        <f>'прил.5 ВЕДОМ.СТР.РАСХ.'!K70</f>
        <v>949.5</v>
      </c>
      <c r="Q70" s="392">
        <f t="shared" si="12"/>
        <v>1</v>
      </c>
    </row>
    <row r="71" spans="1:17" ht="14.25">
      <c r="A71" s="230" t="s">
        <v>88</v>
      </c>
      <c r="B71" s="649" t="s">
        <v>89</v>
      </c>
      <c r="C71" s="641"/>
      <c r="D71" s="641"/>
      <c r="E71" s="628">
        <f>E73</f>
        <v>11916.39</v>
      </c>
      <c r="F71" s="692">
        <f>F73</f>
        <v>10741.39</v>
      </c>
      <c r="G71" s="694">
        <f>G73</f>
        <v>14488.977699999999</v>
      </c>
      <c r="J71" s="9"/>
      <c r="K71" s="10"/>
      <c r="L71" s="9"/>
      <c r="M71" s="10"/>
      <c r="N71" s="9"/>
      <c r="O71" s="10"/>
      <c r="P71" s="696">
        <f>P73</f>
        <v>14474.197699999997</v>
      </c>
      <c r="Q71" s="622">
        <f t="shared" si="12"/>
        <v>0.998979914228179</v>
      </c>
    </row>
    <row r="72" spans="1:17" ht="39" thickBot="1">
      <c r="A72" s="232" t="s">
        <v>90</v>
      </c>
      <c r="B72" s="650"/>
      <c r="C72" s="642"/>
      <c r="D72" s="642"/>
      <c r="E72" s="629"/>
      <c r="F72" s="693"/>
      <c r="G72" s="695"/>
      <c r="J72" s="9"/>
      <c r="K72" s="10"/>
      <c r="L72" s="9"/>
      <c r="M72" s="10"/>
      <c r="N72" s="9"/>
      <c r="O72" s="10"/>
      <c r="P72" s="697"/>
      <c r="Q72" s="623"/>
    </row>
    <row r="73" spans="1:17" ht="15" customHeight="1">
      <c r="A73" s="318" t="s">
        <v>91</v>
      </c>
      <c r="B73" s="319"/>
      <c r="C73" s="319" t="s">
        <v>14</v>
      </c>
      <c r="D73" s="319" t="s">
        <v>94</v>
      </c>
      <c r="E73" s="320">
        <f>E74+E76+E79+E85</f>
        <v>11916.39</v>
      </c>
      <c r="F73" s="475">
        <f>F74+F76+F79+F85</f>
        <v>10741.39</v>
      </c>
      <c r="G73" s="489">
        <f>G74+G76+G79+G85+G82</f>
        <v>14488.977699999999</v>
      </c>
      <c r="J73" s="9"/>
      <c r="K73" s="10"/>
      <c r="L73" s="9"/>
      <c r="M73" s="10"/>
      <c r="N73" s="9"/>
      <c r="O73" s="10"/>
      <c r="P73" s="579">
        <f>P74+P76+P79+P85+P82</f>
        <v>14474.197699999997</v>
      </c>
      <c r="Q73" s="418">
        <f t="shared" ref="Q73:Q88" si="15">P73/G73</f>
        <v>0.998979914228179</v>
      </c>
    </row>
    <row r="74" spans="1:17" ht="25.5">
      <c r="A74" s="296" t="s">
        <v>92</v>
      </c>
      <c r="B74" s="297" t="s">
        <v>93</v>
      </c>
      <c r="C74" s="297"/>
      <c r="D74" s="297"/>
      <c r="E74" s="298">
        <f>E75</f>
        <v>120</v>
      </c>
      <c r="F74" s="473">
        <f>F75</f>
        <v>220</v>
      </c>
      <c r="G74" s="486">
        <f>G75</f>
        <v>235</v>
      </c>
      <c r="J74" s="9"/>
      <c r="K74" s="10"/>
      <c r="L74" s="9"/>
      <c r="M74" s="10"/>
      <c r="N74" s="9"/>
      <c r="O74" s="10"/>
      <c r="P74" s="571">
        <f>P75</f>
        <v>220.22</v>
      </c>
      <c r="Q74" s="415">
        <f t="shared" si="15"/>
        <v>0.9371063829787234</v>
      </c>
    </row>
    <row r="75" spans="1:17" ht="25.5">
      <c r="A75" s="11" t="s">
        <v>24</v>
      </c>
      <c r="B75" s="12" t="s">
        <v>93</v>
      </c>
      <c r="C75" s="12" t="s">
        <v>19</v>
      </c>
      <c r="D75" s="12" t="s">
        <v>94</v>
      </c>
      <c r="E75" s="15">
        <v>120</v>
      </c>
      <c r="F75" s="472">
        <f>E75+J75+K75</f>
        <v>220</v>
      </c>
      <c r="G75" s="14">
        <f>'прил.5 ВЕДОМ.СТР.РАСХ.'!E75</f>
        <v>235</v>
      </c>
      <c r="J75" s="9"/>
      <c r="K75" s="31">
        <v>100</v>
      </c>
      <c r="L75" s="9"/>
      <c r="M75" s="10"/>
      <c r="N75" s="9">
        <v>15</v>
      </c>
      <c r="O75" s="10"/>
      <c r="P75" s="440">
        <f>'прил.5 ВЕДОМ.СТР.РАСХ.'!K75</f>
        <v>220.22</v>
      </c>
      <c r="Q75" s="386">
        <f t="shared" si="15"/>
        <v>0.9371063829787234</v>
      </c>
    </row>
    <row r="76" spans="1:17" ht="29.25" customHeight="1">
      <c r="A76" s="296" t="s">
        <v>205</v>
      </c>
      <c r="B76" s="297" t="s">
        <v>206</v>
      </c>
      <c r="C76" s="297"/>
      <c r="D76" s="297"/>
      <c r="E76" s="298">
        <f>E77+E78</f>
        <v>8872.8499999999985</v>
      </c>
      <c r="F76" s="473">
        <f>F77+F78</f>
        <v>8872.8499999999985</v>
      </c>
      <c r="G76" s="486">
        <f>G77+G78</f>
        <v>8872.8499999999985</v>
      </c>
      <c r="J76" s="9"/>
      <c r="K76" s="10"/>
      <c r="L76" s="9"/>
      <c r="M76" s="10"/>
      <c r="N76" s="9"/>
      <c r="O76" s="10"/>
      <c r="P76" s="571">
        <f>P77+P78</f>
        <v>8872.8499999999985</v>
      </c>
      <c r="Q76" s="415">
        <f t="shared" si="15"/>
        <v>1</v>
      </c>
    </row>
    <row r="77" spans="1:17" ht="51">
      <c r="A77" s="11" t="s">
        <v>207</v>
      </c>
      <c r="B77" s="12" t="s">
        <v>206</v>
      </c>
      <c r="C77" s="12" t="s">
        <v>208</v>
      </c>
      <c r="D77" s="12" t="s">
        <v>94</v>
      </c>
      <c r="E77" s="15">
        <v>8852.9599999999991</v>
      </c>
      <c r="F77" s="472">
        <f>E77+J77+K77</f>
        <v>8852.9599999999991</v>
      </c>
      <c r="G77" s="14">
        <f>'прил.5 ВЕДОМ.СТР.РАСХ.'!E156</f>
        <v>8852.9599999999991</v>
      </c>
      <c r="J77" s="9"/>
      <c r="K77" s="10"/>
      <c r="L77" s="9"/>
      <c r="M77" s="10"/>
      <c r="N77" s="9"/>
      <c r="O77" s="10"/>
      <c r="P77" s="440">
        <f>'прил.5 ВЕДОМ.СТР.РАСХ.'!K156</f>
        <v>8852.9599999999991</v>
      </c>
      <c r="Q77" s="386">
        <f t="shared" si="15"/>
        <v>1</v>
      </c>
    </row>
    <row r="78" spans="1:17" ht="18.75" customHeight="1">
      <c r="A78" s="16" t="s">
        <v>209</v>
      </c>
      <c r="B78" s="12" t="s">
        <v>206</v>
      </c>
      <c r="C78" s="12" t="s">
        <v>210</v>
      </c>
      <c r="D78" s="12" t="s">
        <v>94</v>
      </c>
      <c r="E78" s="15">
        <v>19.89</v>
      </c>
      <c r="F78" s="472">
        <f>E78+J78+K78</f>
        <v>19.89</v>
      </c>
      <c r="G78" s="14">
        <f>'прил.5 ВЕДОМ.СТР.РАСХ.'!E157</f>
        <v>19.89</v>
      </c>
      <c r="J78" s="9"/>
      <c r="K78" s="10"/>
      <c r="L78" s="9"/>
      <c r="M78" s="10"/>
      <c r="N78" s="9"/>
      <c r="O78" s="10"/>
      <c r="P78" s="440">
        <f>'прил.5 ВЕДОМ.СТР.РАСХ.'!K157</f>
        <v>19.89</v>
      </c>
      <c r="Q78" s="386">
        <f t="shared" si="15"/>
        <v>1</v>
      </c>
    </row>
    <row r="79" spans="1:17" ht="25.5">
      <c r="A79" s="296" t="s">
        <v>211</v>
      </c>
      <c r="B79" s="297" t="s">
        <v>212</v>
      </c>
      <c r="C79" s="297"/>
      <c r="D79" s="297"/>
      <c r="E79" s="298">
        <f>E80+E81</f>
        <v>723.54</v>
      </c>
      <c r="F79" s="473">
        <f>F80+F81</f>
        <v>723.54</v>
      </c>
      <c r="G79" s="486">
        <f>G80+G81</f>
        <v>723.54</v>
      </c>
      <c r="J79" s="9"/>
      <c r="K79" s="10"/>
      <c r="L79" s="9"/>
      <c r="M79" s="10"/>
      <c r="N79" s="9"/>
      <c r="O79" s="10"/>
      <c r="P79" s="571">
        <f>P80+P81</f>
        <v>723.54</v>
      </c>
      <c r="Q79" s="415">
        <f t="shared" si="15"/>
        <v>1</v>
      </c>
    </row>
    <row r="80" spans="1:17" ht="51">
      <c r="A80" s="11" t="s">
        <v>207</v>
      </c>
      <c r="B80" s="12" t="s">
        <v>212</v>
      </c>
      <c r="C80" s="12" t="s">
        <v>208</v>
      </c>
      <c r="D80" s="12" t="s">
        <v>94</v>
      </c>
      <c r="E80" s="15">
        <v>647.65</v>
      </c>
      <c r="F80" s="472">
        <f>E80+J80+K80</f>
        <v>647.65</v>
      </c>
      <c r="G80" s="14">
        <f>'прил.5 ВЕДОМ.СТР.РАСХ.'!E159</f>
        <v>647.65</v>
      </c>
      <c r="J80" s="9"/>
      <c r="K80" s="10"/>
      <c r="L80" s="9"/>
      <c r="M80" s="10"/>
      <c r="N80" s="9"/>
      <c r="O80" s="10"/>
      <c r="P80" s="440">
        <f>'прил.5 ВЕДОМ.СТР.РАСХ.'!K159</f>
        <v>647.65</v>
      </c>
      <c r="Q80" s="386">
        <f t="shared" si="15"/>
        <v>1</v>
      </c>
    </row>
    <row r="81" spans="1:17">
      <c r="A81" s="16" t="s">
        <v>209</v>
      </c>
      <c r="B81" s="12" t="s">
        <v>212</v>
      </c>
      <c r="C81" s="12" t="s">
        <v>210</v>
      </c>
      <c r="D81" s="12" t="s">
        <v>94</v>
      </c>
      <c r="E81" s="15">
        <v>75.89</v>
      </c>
      <c r="F81" s="472">
        <f>E81+J81+K81</f>
        <v>75.89</v>
      </c>
      <c r="G81" s="14">
        <f>'прил.5 ВЕДОМ.СТР.РАСХ.'!E160</f>
        <v>75.89</v>
      </c>
      <c r="J81" s="9"/>
      <c r="K81" s="10"/>
      <c r="L81" s="9"/>
      <c r="M81" s="10"/>
      <c r="N81" s="9"/>
      <c r="O81" s="10"/>
      <c r="P81" s="440">
        <f>'прил.5 ВЕДОМ.СТР.РАСХ.'!K160</f>
        <v>75.89</v>
      </c>
      <c r="Q81" s="386">
        <f t="shared" si="15"/>
        <v>1</v>
      </c>
    </row>
    <row r="82" spans="1:17" ht="25.5">
      <c r="A82" s="321" t="s">
        <v>541</v>
      </c>
      <c r="B82" s="297" t="s">
        <v>217</v>
      </c>
      <c r="C82" s="297"/>
      <c r="D82" s="297"/>
      <c r="E82" s="298">
        <f>E83+E84</f>
        <v>0</v>
      </c>
      <c r="F82" s="473"/>
      <c r="G82" s="486">
        <f>G83+G84</f>
        <v>985.6</v>
      </c>
      <c r="J82" s="9"/>
      <c r="K82" s="10"/>
      <c r="L82" s="9"/>
      <c r="M82" s="10"/>
      <c r="N82" s="9"/>
      <c r="O82" s="10"/>
      <c r="P82" s="571">
        <f>P83+P84</f>
        <v>985.6</v>
      </c>
      <c r="Q82" s="415">
        <f t="shared" si="15"/>
        <v>1</v>
      </c>
    </row>
    <row r="83" spans="1:17" ht="25.5">
      <c r="A83" s="16" t="s">
        <v>542</v>
      </c>
      <c r="B83" s="12" t="s">
        <v>217</v>
      </c>
      <c r="C83" s="12" t="s">
        <v>208</v>
      </c>
      <c r="D83" s="12" t="s">
        <v>94</v>
      </c>
      <c r="E83" s="15">
        <v>0</v>
      </c>
      <c r="F83" s="472"/>
      <c r="G83" s="14">
        <f>'прил.5 ВЕДОМ.СТР.РАСХ.'!E165</f>
        <v>76.688000000000002</v>
      </c>
      <c r="J83" s="9"/>
      <c r="K83" s="10"/>
      <c r="L83" s="9"/>
      <c r="M83" s="10"/>
      <c r="N83" s="9">
        <v>76.69</v>
      </c>
      <c r="O83" s="10"/>
      <c r="P83" s="440">
        <f>'прил.5 ВЕДОМ.СТР.РАСХ.'!K165</f>
        <v>76.688000000000002</v>
      </c>
      <c r="Q83" s="386">
        <f t="shared" si="15"/>
        <v>1</v>
      </c>
    </row>
    <row r="84" spans="1:17" ht="25.5">
      <c r="A84" s="16" t="s">
        <v>543</v>
      </c>
      <c r="B84" s="12" t="s">
        <v>217</v>
      </c>
      <c r="C84" s="12" t="s">
        <v>208</v>
      </c>
      <c r="D84" s="12" t="s">
        <v>94</v>
      </c>
      <c r="E84" s="15">
        <v>0</v>
      </c>
      <c r="F84" s="472"/>
      <c r="G84" s="14">
        <f>'прил.5 ВЕДОМ.СТР.РАСХ.'!E166</f>
        <v>908.91200000000003</v>
      </c>
      <c r="J84" s="9"/>
      <c r="K84" s="10"/>
      <c r="L84" s="9"/>
      <c r="M84" s="10"/>
      <c r="N84" s="9">
        <v>908.91</v>
      </c>
      <c r="O84" s="10"/>
      <c r="P84" s="440">
        <f>'прил.5 ВЕДОМ.СТР.РАСХ.'!K166</f>
        <v>908.91200000000003</v>
      </c>
      <c r="Q84" s="386">
        <f t="shared" si="15"/>
        <v>1</v>
      </c>
    </row>
    <row r="85" spans="1:17" ht="25.5">
      <c r="A85" s="296" t="s">
        <v>213</v>
      </c>
      <c r="B85" s="297"/>
      <c r="C85" s="297"/>
      <c r="D85" s="297"/>
      <c r="E85" s="298">
        <f>E86+E87</f>
        <v>2200</v>
      </c>
      <c r="F85" s="473">
        <f>F86+F87</f>
        <v>925</v>
      </c>
      <c r="G85" s="588">
        <f>G86+G87</f>
        <v>3671.9876999999997</v>
      </c>
      <c r="J85" s="9"/>
      <c r="K85" s="10"/>
      <c r="L85" s="9"/>
      <c r="M85" s="10"/>
      <c r="N85" s="9"/>
      <c r="O85" s="10"/>
      <c r="P85" s="571">
        <f>P86+P87</f>
        <v>3671.9876999999997</v>
      </c>
      <c r="Q85" s="415">
        <f t="shared" si="15"/>
        <v>1</v>
      </c>
    </row>
    <row r="86" spans="1:17">
      <c r="A86" s="11" t="s">
        <v>209</v>
      </c>
      <c r="B86" s="12" t="s">
        <v>214</v>
      </c>
      <c r="C86" s="12" t="s">
        <v>210</v>
      </c>
      <c r="D86" s="12" t="s">
        <v>94</v>
      </c>
      <c r="E86" s="15">
        <v>110</v>
      </c>
      <c r="F86" s="472">
        <f>E86+J86+K86</f>
        <v>150</v>
      </c>
      <c r="G86" s="589">
        <f>'прил.5 ВЕДОМ.СТР.РАСХ.'!E162</f>
        <v>184.2877</v>
      </c>
      <c r="J86" s="9"/>
      <c r="K86" s="10">
        <v>40</v>
      </c>
      <c r="L86" s="9"/>
      <c r="M86" s="10"/>
      <c r="N86" s="9"/>
      <c r="O86" s="10"/>
      <c r="P86" s="440">
        <f>'прил.5 ВЕДОМ.СТР.РАСХ.'!K162</f>
        <v>184.2877</v>
      </c>
      <c r="Q86" s="386">
        <f t="shared" si="15"/>
        <v>1</v>
      </c>
    </row>
    <row r="87" spans="1:17" ht="13.5" thickBot="1">
      <c r="A87" s="45" t="s">
        <v>209</v>
      </c>
      <c r="B87" s="46" t="s">
        <v>215</v>
      </c>
      <c r="C87" s="46" t="s">
        <v>210</v>
      </c>
      <c r="D87" s="46" t="s">
        <v>94</v>
      </c>
      <c r="E87" s="322">
        <v>2090</v>
      </c>
      <c r="F87" s="472">
        <f>E87+J87+K87</f>
        <v>775</v>
      </c>
      <c r="G87" s="590">
        <f>'прил.5 ВЕДОМ.СТР.РАСХ.'!E163</f>
        <v>3487.7</v>
      </c>
      <c r="J87" s="23">
        <v>-2090</v>
      </c>
      <c r="K87" s="31">
        <v>775</v>
      </c>
      <c r="L87" s="231">
        <v>2090</v>
      </c>
      <c r="M87" s="323">
        <v>-775</v>
      </c>
      <c r="N87" s="324"/>
      <c r="O87" s="10"/>
      <c r="P87" s="580">
        <f>'прил.5 ВЕДОМ.СТР.РАСХ.'!K163</f>
        <v>3487.7</v>
      </c>
      <c r="Q87" s="407">
        <f t="shared" si="15"/>
        <v>1</v>
      </c>
    </row>
    <row r="88" spans="1:17" ht="14.25">
      <c r="A88" s="230" t="s">
        <v>95</v>
      </c>
      <c r="B88" s="639" t="s">
        <v>96</v>
      </c>
      <c r="C88" s="641"/>
      <c r="D88" s="641"/>
      <c r="E88" s="637">
        <f>E90+E93+E98</f>
        <v>1180.6600000000001</v>
      </c>
      <c r="F88" s="706">
        <f>F90+F93+F98</f>
        <v>1749.6599999999999</v>
      </c>
      <c r="G88" s="630">
        <f>G90+G93+G98</f>
        <v>3649.4252700000002</v>
      </c>
      <c r="J88" s="9"/>
      <c r="K88" s="10"/>
      <c r="L88" s="9"/>
      <c r="M88" s="10"/>
      <c r="N88" s="9"/>
      <c r="O88" s="10"/>
      <c r="P88" s="700">
        <f>P90+P93+P98</f>
        <v>1725.9023999999999</v>
      </c>
      <c r="Q88" s="626">
        <f t="shared" si="15"/>
        <v>0.47292443941453827</v>
      </c>
    </row>
    <row r="89" spans="1:17" ht="39" thickBot="1">
      <c r="A89" s="233" t="s">
        <v>97</v>
      </c>
      <c r="B89" s="640"/>
      <c r="C89" s="642"/>
      <c r="D89" s="642"/>
      <c r="E89" s="638"/>
      <c r="F89" s="707"/>
      <c r="G89" s="631"/>
      <c r="J89" s="9"/>
      <c r="K89" s="10"/>
      <c r="L89" s="9"/>
      <c r="M89" s="10"/>
      <c r="N89" s="9"/>
      <c r="O89" s="10"/>
      <c r="P89" s="701"/>
      <c r="Q89" s="627"/>
    </row>
    <row r="90" spans="1:17">
      <c r="A90" s="299" t="s">
        <v>220</v>
      </c>
      <c r="B90" s="300"/>
      <c r="C90" s="300"/>
      <c r="D90" s="300" t="s">
        <v>221</v>
      </c>
      <c r="E90" s="301">
        <f t="shared" ref="E90:G91" si="16">E91</f>
        <v>0</v>
      </c>
      <c r="F90" s="474">
        <f t="shared" si="16"/>
        <v>429</v>
      </c>
      <c r="G90" s="488">
        <f t="shared" si="16"/>
        <v>429</v>
      </c>
      <c r="J90" s="9"/>
      <c r="K90" s="10"/>
      <c r="L90" s="9"/>
      <c r="M90" s="10"/>
      <c r="N90" s="9"/>
      <c r="O90" s="10"/>
      <c r="P90" s="574">
        <f t="shared" ref="P90:P91" si="17">P91</f>
        <v>429</v>
      </c>
      <c r="Q90" s="416">
        <f t="shared" ref="Q90:Q127" si="18">P90/G90</f>
        <v>1</v>
      </c>
    </row>
    <row r="91" spans="1:17" ht="25.5">
      <c r="A91" s="296" t="s">
        <v>222</v>
      </c>
      <c r="B91" s="297" t="s">
        <v>223</v>
      </c>
      <c r="C91" s="297" t="s">
        <v>14</v>
      </c>
      <c r="D91" s="297"/>
      <c r="E91" s="298">
        <f t="shared" si="16"/>
        <v>0</v>
      </c>
      <c r="F91" s="473">
        <f t="shared" si="16"/>
        <v>429</v>
      </c>
      <c r="G91" s="486">
        <f t="shared" si="16"/>
        <v>429</v>
      </c>
      <c r="J91" s="9"/>
      <c r="K91" s="10"/>
      <c r="L91" s="9"/>
      <c r="M91" s="10"/>
      <c r="N91" s="9"/>
      <c r="O91" s="10"/>
      <c r="P91" s="571">
        <f t="shared" si="17"/>
        <v>429</v>
      </c>
      <c r="Q91" s="415">
        <f t="shared" si="18"/>
        <v>1</v>
      </c>
    </row>
    <row r="92" spans="1:17">
      <c r="A92" s="11" t="s">
        <v>209</v>
      </c>
      <c r="B92" s="12" t="s">
        <v>223</v>
      </c>
      <c r="C92" s="12" t="s">
        <v>210</v>
      </c>
      <c r="D92" s="12" t="s">
        <v>221</v>
      </c>
      <c r="E92" s="15">
        <v>0</v>
      </c>
      <c r="F92" s="472">
        <f>E92+J92+K92</f>
        <v>429</v>
      </c>
      <c r="G92" s="37">
        <f>'прил.5 ВЕДОМ.СТР.РАСХ.'!E171</f>
        <v>429</v>
      </c>
      <c r="H92" s="325"/>
      <c r="I92" s="326"/>
      <c r="J92" s="327">
        <v>429</v>
      </c>
      <c r="K92" s="323"/>
      <c r="L92" s="324"/>
      <c r="M92" s="323"/>
      <c r="N92" s="324"/>
      <c r="O92" s="323" t="s">
        <v>544</v>
      </c>
      <c r="P92" s="534">
        <f>'прил.5 ВЕДОМ.СТР.РАСХ.'!K171</f>
        <v>429</v>
      </c>
      <c r="Q92" s="388">
        <f t="shared" si="18"/>
        <v>1</v>
      </c>
    </row>
    <row r="93" spans="1:17">
      <c r="A93" s="299" t="s">
        <v>98</v>
      </c>
      <c r="B93" s="300"/>
      <c r="C93" s="300"/>
      <c r="D93" s="300" t="s">
        <v>99</v>
      </c>
      <c r="E93" s="301">
        <f>E94+E96</f>
        <v>985</v>
      </c>
      <c r="F93" s="474">
        <f>F94+F96+F105</f>
        <v>985</v>
      </c>
      <c r="G93" s="488">
        <f>G94+G96+G105</f>
        <v>2885</v>
      </c>
      <c r="J93" s="9"/>
      <c r="K93" s="10"/>
      <c r="L93" s="9"/>
      <c r="M93" s="10"/>
      <c r="N93" s="9"/>
      <c r="O93" s="10"/>
      <c r="P93" s="574">
        <f>P94+P96+P105</f>
        <v>963.18</v>
      </c>
      <c r="Q93" s="416">
        <f t="shared" si="18"/>
        <v>0.33385788561525126</v>
      </c>
    </row>
    <row r="94" spans="1:17" ht="25.5">
      <c r="A94" s="296" t="s">
        <v>222</v>
      </c>
      <c r="B94" s="297" t="s">
        <v>223</v>
      </c>
      <c r="C94" s="297" t="s">
        <v>14</v>
      </c>
      <c r="D94" s="297"/>
      <c r="E94" s="298">
        <f>E95</f>
        <v>855</v>
      </c>
      <c r="F94" s="473">
        <f>F95</f>
        <v>855</v>
      </c>
      <c r="G94" s="486">
        <f>G95</f>
        <v>855</v>
      </c>
      <c r="J94" s="9"/>
      <c r="K94" s="10"/>
      <c r="L94" s="9"/>
      <c r="M94" s="10"/>
      <c r="N94" s="9"/>
      <c r="O94" s="10"/>
      <c r="P94" s="571">
        <f>P95</f>
        <v>855</v>
      </c>
      <c r="Q94" s="415">
        <f t="shared" si="18"/>
        <v>1</v>
      </c>
    </row>
    <row r="95" spans="1:17" ht="51">
      <c r="A95" s="11" t="s">
        <v>207</v>
      </c>
      <c r="B95" s="12" t="s">
        <v>223</v>
      </c>
      <c r="C95" s="12" t="s">
        <v>208</v>
      </c>
      <c r="D95" s="12" t="s">
        <v>99</v>
      </c>
      <c r="E95" s="15">
        <v>855</v>
      </c>
      <c r="F95" s="472">
        <f>E95+J95+K95</f>
        <v>855</v>
      </c>
      <c r="G95" s="14">
        <f>'прил.5 ВЕДОМ.СТР.РАСХ.'!E174</f>
        <v>855</v>
      </c>
      <c r="J95" s="9"/>
      <c r="K95" s="10"/>
      <c r="L95" s="9"/>
      <c r="M95" s="10"/>
      <c r="N95" s="9"/>
      <c r="O95" s="10"/>
      <c r="P95" s="440">
        <f>'прил.5 ВЕДОМ.СТР.РАСХ.'!K174</f>
        <v>855</v>
      </c>
      <c r="Q95" s="386">
        <f t="shared" si="18"/>
        <v>1</v>
      </c>
    </row>
    <row r="96" spans="1:17" ht="25.5">
      <c r="A96" s="296" t="s">
        <v>100</v>
      </c>
      <c r="B96" s="297" t="s">
        <v>101</v>
      </c>
      <c r="C96" s="297" t="s">
        <v>14</v>
      </c>
      <c r="D96" s="297"/>
      <c r="E96" s="298">
        <f>E97</f>
        <v>130</v>
      </c>
      <c r="F96" s="473">
        <f>F97</f>
        <v>130</v>
      </c>
      <c r="G96" s="313">
        <f>G97</f>
        <v>130</v>
      </c>
      <c r="J96" s="9"/>
      <c r="K96" s="10"/>
      <c r="L96" s="9"/>
      <c r="M96" s="10"/>
      <c r="N96" s="9"/>
      <c r="O96" s="10"/>
      <c r="P96" s="570">
        <f>P97</f>
        <v>108.17999999999999</v>
      </c>
      <c r="Q96" s="414">
        <f t="shared" si="18"/>
        <v>0.83215384615384613</v>
      </c>
    </row>
    <row r="97" spans="1:17" ht="25.5">
      <c r="A97" s="11" t="s">
        <v>18</v>
      </c>
      <c r="B97" s="12" t="s">
        <v>101</v>
      </c>
      <c r="C97" s="12" t="s">
        <v>19</v>
      </c>
      <c r="D97" s="12" t="s">
        <v>99</v>
      </c>
      <c r="E97" s="15">
        <v>130</v>
      </c>
      <c r="F97" s="472">
        <f>E97+J97+K97</f>
        <v>130</v>
      </c>
      <c r="G97" s="37">
        <f>'прил.5 ВЕДОМ.СТР.РАСХ.'!E80</f>
        <v>130</v>
      </c>
      <c r="J97" s="9"/>
      <c r="K97" s="10"/>
      <c r="L97" s="9"/>
      <c r="M97" s="10"/>
      <c r="N97" s="9"/>
      <c r="O97" s="10"/>
      <c r="P97" s="534">
        <f>'прил.5 ВЕДОМ.СТР.РАСХ.'!K80</f>
        <v>108.17999999999999</v>
      </c>
      <c r="Q97" s="388">
        <f t="shared" si="18"/>
        <v>0.83215384615384613</v>
      </c>
    </row>
    <row r="98" spans="1:17">
      <c r="A98" s="296" t="s">
        <v>106</v>
      </c>
      <c r="B98" s="297"/>
      <c r="C98" s="297"/>
      <c r="D98" s="297" t="s">
        <v>107</v>
      </c>
      <c r="E98" s="298">
        <f>E99+E101+E103</f>
        <v>195.66</v>
      </c>
      <c r="F98" s="473">
        <f>F99+F101+F103</f>
        <v>335.65999999999997</v>
      </c>
      <c r="G98" s="313">
        <f>G99+G101+G103</f>
        <v>335.42527000000001</v>
      </c>
      <c r="J98" s="9"/>
      <c r="K98" s="10"/>
      <c r="L98" s="9"/>
      <c r="M98" s="10"/>
      <c r="N98" s="9"/>
      <c r="O98" s="10"/>
      <c r="P98" s="570">
        <f>P99+P101+P103</f>
        <v>333.72240000000005</v>
      </c>
      <c r="Q98" s="414">
        <f t="shared" si="18"/>
        <v>0.99492325071393706</v>
      </c>
    </row>
    <row r="99" spans="1:17">
      <c r="A99" s="296" t="s">
        <v>108</v>
      </c>
      <c r="B99" s="297" t="s">
        <v>109</v>
      </c>
      <c r="C99" s="297"/>
      <c r="D99" s="297"/>
      <c r="E99" s="298">
        <f>E100</f>
        <v>50</v>
      </c>
      <c r="F99" s="473">
        <f>F100</f>
        <v>70</v>
      </c>
      <c r="G99" s="313">
        <f>G100</f>
        <v>70</v>
      </c>
      <c r="J99" s="9"/>
      <c r="K99" s="10"/>
      <c r="L99" s="9"/>
      <c r="M99" s="10"/>
      <c r="N99" s="9"/>
      <c r="O99" s="10"/>
      <c r="P99" s="570">
        <f>P100</f>
        <v>68.626000000000005</v>
      </c>
      <c r="Q99" s="414">
        <f t="shared" si="18"/>
        <v>0.98037142857142867</v>
      </c>
    </row>
    <row r="100" spans="1:17" ht="25.5">
      <c r="A100" s="11" t="s">
        <v>18</v>
      </c>
      <c r="B100" s="12" t="s">
        <v>109</v>
      </c>
      <c r="C100" s="12" t="s">
        <v>19</v>
      </c>
      <c r="D100" s="12" t="s">
        <v>107</v>
      </c>
      <c r="E100" s="15">
        <v>50</v>
      </c>
      <c r="F100" s="472">
        <f>E100+J100+K100</f>
        <v>70</v>
      </c>
      <c r="G100" s="14">
        <f>'прил.5 ВЕДОМ.СТР.РАСХ.'!E85</f>
        <v>70</v>
      </c>
      <c r="J100" s="9"/>
      <c r="K100" s="31">
        <v>20</v>
      </c>
      <c r="L100" s="9"/>
      <c r="M100" s="10"/>
      <c r="N100" s="9"/>
      <c r="O100" s="10"/>
      <c r="P100" s="440">
        <f>'прил.5 ВЕДОМ.СТР.РАСХ.'!K85</f>
        <v>68.626000000000005</v>
      </c>
      <c r="Q100" s="386">
        <f t="shared" si="18"/>
        <v>0.98037142857142867</v>
      </c>
    </row>
    <row r="101" spans="1:17" ht="25.5">
      <c r="A101" s="296" t="s">
        <v>110</v>
      </c>
      <c r="B101" s="300" t="s">
        <v>111</v>
      </c>
      <c r="C101" s="300"/>
      <c r="D101" s="300"/>
      <c r="E101" s="301">
        <f>E102</f>
        <v>100</v>
      </c>
      <c r="F101" s="474">
        <f>F102</f>
        <v>220</v>
      </c>
      <c r="G101" s="485">
        <f>G102</f>
        <v>220</v>
      </c>
      <c r="J101" s="9"/>
      <c r="K101" s="10"/>
      <c r="L101" s="9"/>
      <c r="M101" s="10"/>
      <c r="N101" s="9"/>
      <c r="O101" s="10"/>
      <c r="P101" s="569">
        <f>P102</f>
        <v>219.67113000000001</v>
      </c>
      <c r="Q101" s="413">
        <f t="shared" si="18"/>
        <v>0.99850513636363636</v>
      </c>
    </row>
    <row r="102" spans="1:17" ht="51">
      <c r="A102" s="16" t="s">
        <v>112</v>
      </c>
      <c r="B102" s="17" t="s">
        <v>111</v>
      </c>
      <c r="C102" s="17" t="s">
        <v>113</v>
      </c>
      <c r="D102" s="17" t="s">
        <v>107</v>
      </c>
      <c r="E102" s="22">
        <v>100</v>
      </c>
      <c r="F102" s="472">
        <f>E102+J102+K102</f>
        <v>220</v>
      </c>
      <c r="G102" s="42">
        <f>'прил.5 ВЕДОМ.СТР.РАСХ.'!E87</f>
        <v>220</v>
      </c>
      <c r="J102" s="9"/>
      <c r="K102" s="31">
        <v>120</v>
      </c>
      <c r="L102" s="9"/>
      <c r="M102" s="10"/>
      <c r="N102" s="9"/>
      <c r="O102" s="10"/>
      <c r="P102" s="572">
        <f>'прил.5 ВЕДОМ.СТР.РАСХ.'!K87</f>
        <v>219.67113000000001</v>
      </c>
      <c r="Q102" s="389">
        <f t="shared" si="18"/>
        <v>0.99850513636363636</v>
      </c>
    </row>
    <row r="103" spans="1:17" ht="25.5">
      <c r="A103" s="296" t="s">
        <v>114</v>
      </c>
      <c r="B103" s="297" t="s">
        <v>115</v>
      </c>
      <c r="C103" s="297"/>
      <c r="D103" s="297"/>
      <c r="E103" s="298">
        <f>E104</f>
        <v>45.66</v>
      </c>
      <c r="F103" s="473">
        <f>F104</f>
        <v>45.66</v>
      </c>
      <c r="G103" s="313">
        <f>G104</f>
        <v>45.425269999999998</v>
      </c>
      <c r="J103" s="9"/>
      <c r="K103" s="10"/>
      <c r="L103" s="9"/>
      <c r="M103" s="10"/>
      <c r="N103" s="9"/>
      <c r="O103" s="10"/>
      <c r="P103" s="570">
        <f>P104</f>
        <v>45.425269999999998</v>
      </c>
      <c r="Q103" s="414">
        <f t="shared" si="18"/>
        <v>1</v>
      </c>
    </row>
    <row r="104" spans="1:17" ht="51.75" thickBot="1">
      <c r="A104" s="16" t="s">
        <v>112</v>
      </c>
      <c r="B104" s="17" t="s">
        <v>115</v>
      </c>
      <c r="C104" s="17" t="s">
        <v>113</v>
      </c>
      <c r="D104" s="17" t="s">
        <v>107</v>
      </c>
      <c r="E104" s="22">
        <v>45.66</v>
      </c>
      <c r="F104" s="316">
        <f>E104+J104+K104</f>
        <v>45.66</v>
      </c>
      <c r="G104" s="591">
        <f>'прил.5 ВЕДОМ.СТР.РАСХ.'!E89</f>
        <v>45.425269999999998</v>
      </c>
      <c r="J104" s="9"/>
      <c r="K104" s="10"/>
      <c r="L104" s="9"/>
      <c r="M104" s="10">
        <v>1.7010000000000001</v>
      </c>
      <c r="N104" s="329">
        <v>-1.9337299999999999</v>
      </c>
      <c r="O104" s="10"/>
      <c r="P104" s="573">
        <f>'прил.5 ВЕДОМ.СТР.РАСХ.'!K89</f>
        <v>45.425269999999998</v>
      </c>
      <c r="Q104" s="390">
        <f t="shared" si="18"/>
        <v>1</v>
      </c>
    </row>
    <row r="105" spans="1:17">
      <c r="A105" s="353" t="s">
        <v>382</v>
      </c>
      <c r="B105" s="354" t="s">
        <v>103</v>
      </c>
      <c r="C105" s="354"/>
      <c r="D105" s="354"/>
      <c r="E105" s="355"/>
      <c r="F105" s="476">
        <f>F106</f>
        <v>0</v>
      </c>
      <c r="G105" s="490">
        <f>G106</f>
        <v>1900</v>
      </c>
      <c r="H105" s="356"/>
      <c r="I105" s="357"/>
      <c r="J105" s="358"/>
      <c r="K105" s="359"/>
      <c r="L105" s="358"/>
      <c r="M105" s="359"/>
      <c r="N105" s="358"/>
      <c r="O105" s="359"/>
      <c r="P105" s="581">
        <f>P106</f>
        <v>0</v>
      </c>
      <c r="Q105" s="419">
        <f t="shared" si="18"/>
        <v>0</v>
      </c>
    </row>
    <row r="106" spans="1:17" ht="26.25" thickBot="1">
      <c r="A106" s="32" t="s">
        <v>18</v>
      </c>
      <c r="B106" s="33" t="s">
        <v>103</v>
      </c>
      <c r="C106" s="33" t="s">
        <v>105</v>
      </c>
      <c r="D106" s="33" t="s">
        <v>99</v>
      </c>
      <c r="E106" s="360">
        <v>0</v>
      </c>
      <c r="F106" s="477">
        <f>E106+J106+K106</f>
        <v>0</v>
      </c>
      <c r="G106" s="30">
        <f>'прил.5 ВЕДОМ.СТР.РАСХ.'!E82</f>
        <v>1900</v>
      </c>
      <c r="H106" s="361"/>
      <c r="I106" s="362"/>
      <c r="J106" s="363"/>
      <c r="K106" s="364"/>
      <c r="L106" s="365">
        <v>1900</v>
      </c>
      <c r="M106" s="366" t="s">
        <v>545</v>
      </c>
      <c r="N106" s="363"/>
      <c r="O106" s="364"/>
      <c r="P106" s="582">
        <f>'прил.5 ВЕДОМ.СТР.РАСХ.'!K82</f>
        <v>0</v>
      </c>
      <c r="Q106" s="420">
        <f t="shared" si="18"/>
        <v>0</v>
      </c>
    </row>
    <row r="107" spans="1:17" ht="14.25">
      <c r="A107" s="331" t="s">
        <v>116</v>
      </c>
      <c r="B107" s="332"/>
      <c r="C107" s="332"/>
      <c r="D107" s="332"/>
      <c r="E107" s="333">
        <f>E108+E123</f>
        <v>13576.179999999998</v>
      </c>
      <c r="F107" s="478">
        <f>F108+F123</f>
        <v>13747.110999999999</v>
      </c>
      <c r="G107" s="491">
        <f>G108+G123</f>
        <v>14919.17283</v>
      </c>
      <c r="J107" s="9"/>
      <c r="K107" s="10"/>
      <c r="L107" s="9"/>
      <c r="M107" s="10"/>
      <c r="N107" s="9"/>
      <c r="O107" s="10"/>
      <c r="P107" s="583">
        <f>P108+P123</f>
        <v>14150.68477</v>
      </c>
      <c r="Q107" s="421">
        <f t="shared" si="18"/>
        <v>0.94848990163484825</v>
      </c>
    </row>
    <row r="108" spans="1:17" ht="28.5">
      <c r="A108" s="334" t="s">
        <v>117</v>
      </c>
      <c r="B108" s="335" t="s">
        <v>118</v>
      </c>
      <c r="C108" s="335"/>
      <c r="D108" s="335"/>
      <c r="E108" s="336">
        <f>E109+E114</f>
        <v>10412.959999999999</v>
      </c>
      <c r="F108" s="479">
        <f>F109+F114</f>
        <v>10412.959999999999</v>
      </c>
      <c r="G108" s="492">
        <f>G109+G114</f>
        <v>10540.46</v>
      </c>
      <c r="J108" s="9"/>
      <c r="K108" s="10"/>
      <c r="L108" s="9"/>
      <c r="M108" s="10"/>
      <c r="N108" s="9"/>
      <c r="O108" s="10"/>
      <c r="P108" s="584">
        <f>P109+P114</f>
        <v>10126.747139999999</v>
      </c>
      <c r="Q108" s="422">
        <f t="shared" si="18"/>
        <v>0.96075001850014141</v>
      </c>
    </row>
    <row r="109" spans="1:17" ht="25.5">
      <c r="A109" s="296" t="s">
        <v>119</v>
      </c>
      <c r="B109" s="297" t="s">
        <v>120</v>
      </c>
      <c r="C109" s="297" t="s">
        <v>14</v>
      </c>
      <c r="D109" s="297"/>
      <c r="E109" s="298">
        <f>E110+E112</f>
        <v>7162.37</v>
      </c>
      <c r="F109" s="473">
        <f>F110+F112</f>
        <v>7162.37</v>
      </c>
      <c r="G109" s="486">
        <f>G110+G112</f>
        <v>7362.37</v>
      </c>
      <c r="J109" s="9"/>
      <c r="K109" s="10"/>
      <c r="L109" s="9"/>
      <c r="M109" s="10"/>
      <c r="N109" s="9"/>
      <c r="O109" s="10"/>
      <c r="P109" s="571">
        <f>P110+P112</f>
        <v>7255.9206199999999</v>
      </c>
      <c r="Q109" s="415">
        <f t="shared" si="18"/>
        <v>0.98554142484009899</v>
      </c>
    </row>
    <row r="110" spans="1:17" ht="25.5">
      <c r="A110" s="296" t="s">
        <v>121</v>
      </c>
      <c r="B110" s="297" t="s">
        <v>122</v>
      </c>
      <c r="C110" s="297" t="s">
        <v>14</v>
      </c>
      <c r="D110" s="297"/>
      <c r="E110" s="298">
        <f>E111</f>
        <v>5811.16</v>
      </c>
      <c r="F110" s="473">
        <f>F111</f>
        <v>5811.16</v>
      </c>
      <c r="G110" s="486">
        <f>G111</f>
        <v>5931.16</v>
      </c>
      <c r="J110" s="9"/>
      <c r="K110" s="10"/>
      <c r="L110" s="9"/>
      <c r="M110" s="10"/>
      <c r="N110" s="9"/>
      <c r="O110" s="10"/>
      <c r="P110" s="571">
        <f>P111</f>
        <v>5895.9605799999999</v>
      </c>
      <c r="Q110" s="415">
        <f t="shared" si="18"/>
        <v>0.994065339663742</v>
      </c>
    </row>
    <row r="111" spans="1:17" ht="25.5">
      <c r="A111" s="11" t="s">
        <v>123</v>
      </c>
      <c r="B111" s="12" t="s">
        <v>122</v>
      </c>
      <c r="C111" s="12" t="s">
        <v>124</v>
      </c>
      <c r="D111" s="12" t="s">
        <v>125</v>
      </c>
      <c r="E111" s="15">
        <v>5811.16</v>
      </c>
      <c r="F111" s="472">
        <f>E111+J111+K111</f>
        <v>5811.16</v>
      </c>
      <c r="G111" s="14">
        <f>'прил.5 ВЕДОМ.СТР.РАСХ.'!E94</f>
        <v>5931.16</v>
      </c>
      <c r="J111" s="9"/>
      <c r="K111" s="10"/>
      <c r="L111" s="9"/>
      <c r="M111" s="10"/>
      <c r="N111" s="9"/>
      <c r="O111" s="10"/>
      <c r="P111" s="440">
        <f>'прил.5 ВЕДОМ.СТР.РАСХ.'!K94</f>
        <v>5895.9605799999999</v>
      </c>
      <c r="Q111" s="386">
        <f t="shared" si="18"/>
        <v>0.994065339663742</v>
      </c>
    </row>
    <row r="112" spans="1:17" ht="25.5">
      <c r="A112" s="296" t="s">
        <v>126</v>
      </c>
      <c r="B112" s="297" t="s">
        <v>127</v>
      </c>
      <c r="C112" s="297" t="s">
        <v>14</v>
      </c>
      <c r="D112" s="297"/>
      <c r="E112" s="298">
        <f>E113</f>
        <v>1351.21</v>
      </c>
      <c r="F112" s="473">
        <f>F113</f>
        <v>1351.21</v>
      </c>
      <c r="G112" s="486">
        <f>G113</f>
        <v>1431.21</v>
      </c>
      <c r="J112" s="9"/>
      <c r="K112" s="10"/>
      <c r="L112" s="9"/>
      <c r="M112" s="10"/>
      <c r="N112" s="9"/>
      <c r="O112" s="10"/>
      <c r="P112" s="571">
        <f>P113</f>
        <v>1359.9600400000002</v>
      </c>
      <c r="Q112" s="415">
        <f t="shared" si="18"/>
        <v>0.95021697724303222</v>
      </c>
    </row>
    <row r="113" spans="1:17" ht="25.5">
      <c r="A113" s="11" t="s">
        <v>123</v>
      </c>
      <c r="B113" s="12" t="s">
        <v>127</v>
      </c>
      <c r="C113" s="12" t="s">
        <v>124</v>
      </c>
      <c r="D113" s="12" t="s">
        <v>125</v>
      </c>
      <c r="E113" s="15">
        <v>1351.21</v>
      </c>
      <c r="F113" s="472">
        <f>E113+J113+K113</f>
        <v>1351.21</v>
      </c>
      <c r="G113" s="14">
        <f>'прил.5 ВЕДОМ.СТР.РАСХ.'!E96</f>
        <v>1431.21</v>
      </c>
      <c r="J113" s="9"/>
      <c r="K113" s="10"/>
      <c r="L113" s="9"/>
      <c r="M113" s="10"/>
      <c r="N113" s="9"/>
      <c r="O113" s="10"/>
      <c r="P113" s="440">
        <f>'прил.5 ВЕДОМ.СТР.РАСХ.'!K96</f>
        <v>1359.9600400000002</v>
      </c>
      <c r="Q113" s="386">
        <f t="shared" si="18"/>
        <v>0.95021697724303222</v>
      </c>
    </row>
    <row r="114" spans="1:17">
      <c r="A114" s="296" t="s">
        <v>128</v>
      </c>
      <c r="B114" s="297" t="s">
        <v>129</v>
      </c>
      <c r="C114" s="297"/>
      <c r="D114" s="297"/>
      <c r="E114" s="298">
        <f>E115+E119+E121</f>
        <v>3250.59</v>
      </c>
      <c r="F114" s="473">
        <f>F115+F119+F121</f>
        <v>3250.59</v>
      </c>
      <c r="G114" s="486">
        <f>G115+G119+G121</f>
        <v>3178.09</v>
      </c>
      <c r="J114" s="9"/>
      <c r="K114" s="10"/>
      <c r="L114" s="9"/>
      <c r="M114" s="10"/>
      <c r="N114" s="9"/>
      <c r="O114" s="10"/>
      <c r="P114" s="571">
        <f>P115+P119+P121</f>
        <v>2870.8265199999996</v>
      </c>
      <c r="Q114" s="415">
        <f t="shared" si="18"/>
        <v>0.90331819426133286</v>
      </c>
    </row>
    <row r="115" spans="1:17" ht="25.5">
      <c r="A115" s="296" t="s">
        <v>130</v>
      </c>
      <c r="B115" s="297" t="s">
        <v>131</v>
      </c>
      <c r="C115" s="297" t="s">
        <v>14</v>
      </c>
      <c r="D115" s="297"/>
      <c r="E115" s="298">
        <f>E116+E117</f>
        <v>3139.59</v>
      </c>
      <c r="F115" s="473">
        <f>F116+F117</f>
        <v>3139.59</v>
      </c>
      <c r="G115" s="486">
        <f>G116+G117+G118</f>
        <v>3067.09</v>
      </c>
      <c r="H115" s="481">
        <f t="shared" ref="H115:P115" si="19">H116+H117+H118</f>
        <v>0</v>
      </c>
      <c r="I115" s="298">
        <f t="shared" si="19"/>
        <v>0</v>
      </c>
      <c r="J115" s="298">
        <f t="shared" si="19"/>
        <v>0</v>
      </c>
      <c r="K115" s="298">
        <f t="shared" si="19"/>
        <v>0</v>
      </c>
      <c r="L115" s="298">
        <f t="shared" si="19"/>
        <v>0</v>
      </c>
      <c r="M115" s="298">
        <f t="shared" si="19"/>
        <v>0</v>
      </c>
      <c r="N115" s="298">
        <f t="shared" si="19"/>
        <v>10</v>
      </c>
      <c r="O115" s="298">
        <f t="shared" si="19"/>
        <v>0</v>
      </c>
      <c r="P115" s="571">
        <f t="shared" si="19"/>
        <v>2869.8265199999996</v>
      </c>
      <c r="Q115" s="415">
        <f t="shared" si="18"/>
        <v>0.93568383060164506</v>
      </c>
    </row>
    <row r="116" spans="1:17" ht="25.5">
      <c r="A116" s="11" t="s">
        <v>123</v>
      </c>
      <c r="B116" s="12" t="s">
        <v>131</v>
      </c>
      <c r="C116" s="12" t="s">
        <v>124</v>
      </c>
      <c r="D116" s="12" t="s">
        <v>125</v>
      </c>
      <c r="E116" s="15">
        <v>1767.73</v>
      </c>
      <c r="F116" s="472">
        <f>E116+J116+K116</f>
        <v>1767.73</v>
      </c>
      <c r="G116" s="14">
        <f>'прил.5 ВЕДОМ.СТР.РАСХ.'!E99</f>
        <v>1367.23</v>
      </c>
      <c r="J116" s="9"/>
      <c r="K116" s="10"/>
      <c r="L116" s="9"/>
      <c r="M116" s="10"/>
      <c r="N116" s="9"/>
      <c r="O116" s="10"/>
      <c r="P116" s="440">
        <f>'прил.5 ВЕДОМ.СТР.РАСХ.'!K99</f>
        <v>1303.73975</v>
      </c>
      <c r="Q116" s="386">
        <f t="shared" si="18"/>
        <v>0.95356286067450247</v>
      </c>
    </row>
    <row r="117" spans="1:17" ht="25.5">
      <c r="A117" s="11" t="s">
        <v>18</v>
      </c>
      <c r="B117" s="12" t="s">
        <v>131</v>
      </c>
      <c r="C117" s="12" t="s">
        <v>19</v>
      </c>
      <c r="D117" s="12" t="s">
        <v>125</v>
      </c>
      <c r="E117" s="15">
        <v>1371.86</v>
      </c>
      <c r="F117" s="472">
        <f>E117+J117+K117</f>
        <v>1371.86</v>
      </c>
      <c r="G117" s="14">
        <f>'прил.5 ВЕДОМ.СТР.РАСХ.'!E101</f>
        <v>1699.36</v>
      </c>
      <c r="J117" s="36"/>
      <c r="K117" s="31"/>
      <c r="L117" s="9"/>
      <c r="M117" s="10"/>
      <c r="N117" s="9">
        <v>10</v>
      </c>
      <c r="O117" s="10"/>
      <c r="P117" s="440">
        <f>'прил.5 ВЕДОМ.СТР.РАСХ.'!K101</f>
        <v>1565.7092499999999</v>
      </c>
      <c r="Q117" s="386">
        <f t="shared" si="18"/>
        <v>0.92135230322003581</v>
      </c>
    </row>
    <row r="118" spans="1:17" ht="38.25">
      <c r="A118" s="11" t="s">
        <v>552</v>
      </c>
      <c r="B118" s="12" t="s">
        <v>550</v>
      </c>
      <c r="C118" s="12" t="s">
        <v>551</v>
      </c>
      <c r="D118" s="13" t="s">
        <v>125</v>
      </c>
      <c r="E118" s="15"/>
      <c r="F118" s="472"/>
      <c r="G118" s="14">
        <f>'прил.5 ВЕДОМ.СТР.РАСХ.'!E100</f>
        <v>0.5</v>
      </c>
      <c r="J118" s="36"/>
      <c r="K118" s="31"/>
      <c r="L118" s="9"/>
      <c r="M118" s="10"/>
      <c r="N118" s="9"/>
      <c r="O118" s="10"/>
      <c r="P118" s="440">
        <f>'прил.5 ВЕДОМ.СТР.РАСХ.'!K100</f>
        <v>0.37752000000000002</v>
      </c>
      <c r="Q118" s="386">
        <f t="shared" si="18"/>
        <v>0.75504000000000004</v>
      </c>
    </row>
    <row r="119" spans="1:17" ht="25.5">
      <c r="A119" s="296" t="s">
        <v>133</v>
      </c>
      <c r="B119" s="297" t="s">
        <v>134</v>
      </c>
      <c r="C119" s="297" t="s">
        <v>14</v>
      </c>
      <c r="D119" s="297"/>
      <c r="E119" s="298">
        <f>E120</f>
        <v>110</v>
      </c>
      <c r="F119" s="473">
        <f>F120</f>
        <v>110</v>
      </c>
      <c r="G119" s="486">
        <f>G120</f>
        <v>110</v>
      </c>
      <c r="J119" s="9"/>
      <c r="K119" s="10"/>
      <c r="L119" s="9"/>
      <c r="M119" s="10"/>
      <c r="N119" s="9"/>
      <c r="O119" s="10"/>
      <c r="P119" s="571">
        <f>P120</f>
        <v>0</v>
      </c>
      <c r="Q119" s="415">
        <f t="shared" si="18"/>
        <v>0</v>
      </c>
    </row>
    <row r="120" spans="1:17" ht="38.25">
      <c r="A120" s="11" t="s">
        <v>135</v>
      </c>
      <c r="B120" s="12" t="s">
        <v>134</v>
      </c>
      <c r="C120" s="12" t="s">
        <v>113</v>
      </c>
      <c r="D120" s="12" t="s">
        <v>136</v>
      </c>
      <c r="E120" s="15">
        <v>110</v>
      </c>
      <c r="F120" s="472">
        <f>E120+J120+K120</f>
        <v>110</v>
      </c>
      <c r="G120" s="14">
        <f>'прил.5 ВЕДОМ.СТР.РАСХ.'!E103</f>
        <v>110</v>
      </c>
      <c r="J120" s="9"/>
      <c r="K120" s="10"/>
      <c r="L120" s="9"/>
      <c r="M120" s="10"/>
      <c r="N120" s="9"/>
      <c r="O120" s="10"/>
      <c r="P120" s="440">
        <f>'прил.5 ВЕДОМ.СТР.РАСХ.'!K103</f>
        <v>0</v>
      </c>
      <c r="Q120" s="386">
        <f t="shared" si="18"/>
        <v>0</v>
      </c>
    </row>
    <row r="121" spans="1:17" ht="38.25">
      <c r="A121" s="296" t="s">
        <v>137</v>
      </c>
      <c r="B121" s="297" t="s">
        <v>132</v>
      </c>
      <c r="C121" s="297"/>
      <c r="D121" s="297"/>
      <c r="E121" s="298">
        <f>E122</f>
        <v>1</v>
      </c>
      <c r="F121" s="473">
        <f>F122</f>
        <v>1</v>
      </c>
      <c r="G121" s="486">
        <f>G122</f>
        <v>1</v>
      </c>
      <c r="J121" s="9"/>
      <c r="K121" s="10"/>
      <c r="L121" s="9"/>
      <c r="M121" s="10"/>
      <c r="N121" s="9"/>
      <c r="O121" s="10"/>
      <c r="P121" s="571">
        <f>P122</f>
        <v>1</v>
      </c>
      <c r="Q121" s="415">
        <f t="shared" si="18"/>
        <v>1</v>
      </c>
    </row>
    <row r="122" spans="1:17" ht="25.5">
      <c r="A122" s="11" t="s">
        <v>18</v>
      </c>
      <c r="B122" s="12" t="s">
        <v>132</v>
      </c>
      <c r="C122" s="12" t="s">
        <v>19</v>
      </c>
      <c r="D122" s="12" t="s">
        <v>138</v>
      </c>
      <c r="E122" s="15">
        <v>1</v>
      </c>
      <c r="F122" s="472">
        <f>E122+J122+K122</f>
        <v>1</v>
      </c>
      <c r="G122" s="14">
        <f>'прил.5 ВЕДОМ.СТР.РАСХ.'!E105</f>
        <v>1</v>
      </c>
      <c r="J122" s="36"/>
      <c r="K122" s="10"/>
      <c r="L122" s="9"/>
      <c r="M122" s="10"/>
      <c r="N122" s="9"/>
      <c r="O122" s="10"/>
      <c r="P122" s="440">
        <f>'прил.5 ВЕДОМ.СТР.РАСХ.'!K105</f>
        <v>1</v>
      </c>
      <c r="Q122" s="386">
        <f t="shared" si="18"/>
        <v>1</v>
      </c>
    </row>
    <row r="123" spans="1:17" ht="14.25">
      <c r="A123" s="334" t="s">
        <v>139</v>
      </c>
      <c r="B123" s="335" t="s">
        <v>140</v>
      </c>
      <c r="C123" s="335" t="s">
        <v>14</v>
      </c>
      <c r="D123" s="335"/>
      <c r="E123" s="336">
        <f>E124</f>
        <v>3163.22</v>
      </c>
      <c r="F123" s="479">
        <f>F124</f>
        <v>3334.1510000000003</v>
      </c>
      <c r="G123" s="492">
        <f>G124</f>
        <v>4378.7128300000004</v>
      </c>
      <c r="J123" s="9"/>
      <c r="K123" s="10"/>
      <c r="L123" s="9"/>
      <c r="M123" s="10"/>
      <c r="N123" s="9"/>
      <c r="O123" s="10"/>
      <c r="P123" s="584">
        <f>P124</f>
        <v>4023.9376299999999</v>
      </c>
      <c r="Q123" s="422">
        <f t="shared" si="18"/>
        <v>0.91897728538639967</v>
      </c>
    </row>
    <row r="124" spans="1:17">
      <c r="A124" s="296" t="s">
        <v>141</v>
      </c>
      <c r="B124" s="297" t="s">
        <v>142</v>
      </c>
      <c r="C124" s="297"/>
      <c r="D124" s="297"/>
      <c r="E124" s="298">
        <f>E125+E133+E135+E137+E140+E142+E144+E146+E148+E150+E153+E165+E155+E157+E159+E161+E163</f>
        <v>3163.22</v>
      </c>
      <c r="F124" s="473">
        <f>F125+F133+F135+F137+F140+F142+F144+F146+F148+F150+F153+F165+F155+F157+F159+F161+F163</f>
        <v>3334.1510000000003</v>
      </c>
      <c r="G124" s="486">
        <f>G125+G133+G135+G137+G140+G142+G144+G146+G148+G150+G153+G165+G155+G157+G159+G161+G163</f>
        <v>4378.7128300000004</v>
      </c>
      <c r="J124" s="9"/>
      <c r="K124" s="10"/>
      <c r="L124" s="9"/>
      <c r="M124" s="10"/>
      <c r="N124" s="9"/>
      <c r="O124" s="10"/>
      <c r="P124" s="571">
        <f>P125+P133+P135+P137+P140+P142+P144+P146+P148+P150+P153+P165+P155+P157+P159+P161+P163</f>
        <v>4023.9376299999999</v>
      </c>
      <c r="Q124" s="415">
        <f t="shared" si="18"/>
        <v>0.91897728538639967</v>
      </c>
    </row>
    <row r="125" spans="1:17">
      <c r="A125" s="296" t="s">
        <v>143</v>
      </c>
      <c r="B125" s="297" t="s">
        <v>144</v>
      </c>
      <c r="C125" s="297"/>
      <c r="D125" s="297"/>
      <c r="E125" s="298">
        <f>SUM(E126:E132)</f>
        <v>367.64</v>
      </c>
      <c r="F125" s="473">
        <f>SUM(F126:F132)</f>
        <v>410.51</v>
      </c>
      <c r="G125" s="486">
        <f>SUM(G126:G132)</f>
        <v>410.51</v>
      </c>
      <c r="J125" s="9"/>
      <c r="K125" s="10"/>
      <c r="L125" s="9"/>
      <c r="M125" s="10"/>
      <c r="N125" s="9"/>
      <c r="O125" s="10"/>
      <c r="P125" s="571">
        <f>SUM(P126:P132)</f>
        <v>410.51</v>
      </c>
      <c r="Q125" s="415">
        <f t="shared" si="18"/>
        <v>1</v>
      </c>
    </row>
    <row r="126" spans="1:17">
      <c r="A126" s="337" t="s">
        <v>145</v>
      </c>
      <c r="B126" s="12" t="s">
        <v>146</v>
      </c>
      <c r="C126" s="12" t="s">
        <v>147</v>
      </c>
      <c r="D126" s="338" t="s">
        <v>138</v>
      </c>
      <c r="E126" s="15">
        <v>112.7</v>
      </c>
      <c r="F126" s="472">
        <f t="shared" ref="F126:F132" si="20">E126+J126+K126</f>
        <v>112.7</v>
      </c>
      <c r="G126" s="14">
        <f>'прил.5 ВЕДОМ.СТР.РАСХ.'!E109</f>
        <v>112.7</v>
      </c>
      <c r="J126" s="9"/>
      <c r="K126" s="10"/>
      <c r="L126" s="9">
        <v>0</v>
      </c>
      <c r="M126" s="10"/>
      <c r="N126" s="9"/>
      <c r="O126" s="10"/>
      <c r="P126" s="440">
        <f>'прил.5 ВЕДОМ.СТР.РАСХ.'!K109</f>
        <v>112.7</v>
      </c>
      <c r="Q126" s="386">
        <f t="shared" si="18"/>
        <v>1</v>
      </c>
    </row>
    <row r="127" spans="1:17" ht="25.5">
      <c r="A127" s="339" t="s">
        <v>148</v>
      </c>
      <c r="B127" s="12" t="s">
        <v>149</v>
      </c>
      <c r="C127" s="12" t="s">
        <v>147</v>
      </c>
      <c r="D127" s="12" t="s">
        <v>138</v>
      </c>
      <c r="E127" s="15">
        <v>47.2</v>
      </c>
      <c r="F127" s="472">
        <f t="shared" si="20"/>
        <v>47.2</v>
      </c>
      <c r="G127" s="14">
        <f>'прил.5 ВЕДОМ.СТР.РАСХ.'!E110</f>
        <v>47.2</v>
      </c>
      <c r="J127" s="9"/>
      <c r="K127" s="10"/>
      <c r="L127" s="9"/>
      <c r="M127" s="10"/>
      <c r="N127" s="9"/>
      <c r="O127" s="10"/>
      <c r="P127" s="440">
        <f>'прил.5 ВЕДОМ.СТР.РАСХ.'!K110</f>
        <v>47.2</v>
      </c>
      <c r="Q127" s="386">
        <f t="shared" si="18"/>
        <v>1</v>
      </c>
    </row>
    <row r="128" spans="1:17" ht="25.5">
      <c r="A128" s="339" t="s">
        <v>150</v>
      </c>
      <c r="B128" s="12" t="s">
        <v>151</v>
      </c>
      <c r="C128" s="12" t="s">
        <v>147</v>
      </c>
      <c r="D128" s="12" t="s">
        <v>138</v>
      </c>
      <c r="E128" s="15">
        <v>8.6999999999999993</v>
      </c>
      <c r="F128" s="472">
        <f t="shared" si="20"/>
        <v>8.6999999999999993</v>
      </c>
      <c r="G128" s="14">
        <f>'прил.5 ВЕДОМ.СТР.РАСХ.'!E111</f>
        <v>8.6999999999999993</v>
      </c>
      <c r="J128" s="9"/>
      <c r="K128" s="10"/>
      <c r="L128" s="9"/>
      <c r="M128" s="10"/>
      <c r="N128" s="9"/>
      <c r="O128" s="10"/>
      <c r="P128" s="440">
        <f>'прил.5 ВЕДОМ.СТР.РАСХ.'!K111</f>
        <v>8.6999999999999993</v>
      </c>
      <c r="Q128" s="386">
        <f t="shared" ref="Q128:Q132" si="21">P128/G128</f>
        <v>1</v>
      </c>
    </row>
    <row r="129" spans="1:17" ht="25.5">
      <c r="A129" s="339" t="s">
        <v>152</v>
      </c>
      <c r="B129" s="12" t="s">
        <v>153</v>
      </c>
      <c r="C129" s="12" t="s">
        <v>147</v>
      </c>
      <c r="D129" s="12" t="s">
        <v>138</v>
      </c>
      <c r="E129" s="15">
        <v>33.880000000000003</v>
      </c>
      <c r="F129" s="472">
        <f t="shared" si="20"/>
        <v>33.880000000000003</v>
      </c>
      <c r="G129" s="14">
        <f>'прил.5 ВЕДОМ.СТР.РАСХ.'!E112</f>
        <v>33.880000000000003</v>
      </c>
      <c r="J129" s="9"/>
      <c r="K129" s="10"/>
      <c r="L129" s="9"/>
      <c r="M129" s="10"/>
      <c r="N129" s="9"/>
      <c r="O129" s="10"/>
      <c r="P129" s="440">
        <f>'прил.5 ВЕДОМ.СТР.РАСХ.'!K112</f>
        <v>33.880000000000003</v>
      </c>
      <c r="Q129" s="386">
        <f t="shared" si="21"/>
        <v>1</v>
      </c>
    </row>
    <row r="130" spans="1:17" ht="25.5">
      <c r="A130" s="339" t="s">
        <v>154</v>
      </c>
      <c r="B130" s="12" t="s">
        <v>155</v>
      </c>
      <c r="C130" s="12" t="s">
        <v>147</v>
      </c>
      <c r="D130" s="12" t="s">
        <v>138</v>
      </c>
      <c r="E130" s="15"/>
      <c r="F130" s="472">
        <f t="shared" si="20"/>
        <v>42.87</v>
      </c>
      <c r="G130" s="14">
        <f>'прил.5 ВЕДОМ.СТР.РАСХ.'!E113</f>
        <v>42.87</v>
      </c>
      <c r="J130" s="20">
        <v>42.87</v>
      </c>
      <c r="K130" s="10"/>
      <c r="L130" s="9"/>
      <c r="M130" s="10"/>
      <c r="N130" s="9"/>
      <c r="O130" s="10"/>
      <c r="P130" s="440">
        <f>'прил.5 ВЕДОМ.СТР.РАСХ.'!K113</f>
        <v>42.87</v>
      </c>
      <c r="Q130" s="386">
        <f t="shared" si="21"/>
        <v>1</v>
      </c>
    </row>
    <row r="131" spans="1:17" ht="25.5">
      <c r="A131" s="339" t="s">
        <v>156</v>
      </c>
      <c r="B131" s="12" t="s">
        <v>157</v>
      </c>
      <c r="C131" s="12" t="s">
        <v>147</v>
      </c>
      <c r="D131" s="12" t="s">
        <v>138</v>
      </c>
      <c r="E131" s="15">
        <v>63.5</v>
      </c>
      <c r="F131" s="472">
        <f t="shared" si="20"/>
        <v>63.5</v>
      </c>
      <c r="G131" s="14">
        <f>'прил.5 ВЕДОМ.СТР.РАСХ.'!E114</f>
        <v>63.5</v>
      </c>
      <c r="J131" s="9"/>
      <c r="K131" s="10"/>
      <c r="L131" s="9"/>
      <c r="M131" s="10"/>
      <c r="N131" s="9"/>
      <c r="O131" s="10"/>
      <c r="P131" s="440">
        <f>'прил.5 ВЕДОМ.СТР.РАСХ.'!K114</f>
        <v>63.5</v>
      </c>
      <c r="Q131" s="386">
        <f t="shared" si="21"/>
        <v>1</v>
      </c>
    </row>
    <row r="132" spans="1:17" ht="25.5">
      <c r="A132" s="339" t="s">
        <v>158</v>
      </c>
      <c r="B132" s="12" t="s">
        <v>159</v>
      </c>
      <c r="C132" s="12" t="s">
        <v>147</v>
      </c>
      <c r="D132" s="12" t="s">
        <v>138</v>
      </c>
      <c r="E132" s="15">
        <v>101.66</v>
      </c>
      <c r="F132" s="472">
        <f t="shared" si="20"/>
        <v>101.66</v>
      </c>
      <c r="G132" s="14">
        <f>'прил.5 ВЕДОМ.СТР.РАСХ.'!E115</f>
        <v>101.66</v>
      </c>
      <c r="J132" s="9"/>
      <c r="K132" s="10"/>
      <c r="L132" s="9"/>
      <c r="M132" s="10"/>
      <c r="N132" s="9"/>
      <c r="O132" s="10"/>
      <c r="P132" s="440">
        <f>'прил.5 ВЕДОМ.СТР.РАСХ.'!K115</f>
        <v>101.66</v>
      </c>
      <c r="Q132" s="386">
        <f t="shared" si="21"/>
        <v>1</v>
      </c>
    </row>
    <row r="133" spans="1:17">
      <c r="A133" s="296" t="s">
        <v>160</v>
      </c>
      <c r="B133" s="297" t="s">
        <v>161</v>
      </c>
      <c r="C133" s="297" t="s">
        <v>14</v>
      </c>
      <c r="D133" s="297"/>
      <c r="E133" s="298">
        <f>E134</f>
        <v>100</v>
      </c>
      <c r="F133" s="473">
        <f>F134</f>
        <v>100</v>
      </c>
      <c r="G133" s="486">
        <f>G134</f>
        <v>100</v>
      </c>
      <c r="J133" s="9"/>
      <c r="K133" s="10"/>
      <c r="L133" s="9"/>
      <c r="M133" s="10"/>
      <c r="N133" s="9"/>
      <c r="O133" s="10"/>
      <c r="P133" s="571">
        <f>P134</f>
        <v>0</v>
      </c>
      <c r="Q133" s="415">
        <f t="shared" ref="Q133:Q167" si="22">P133/G133</f>
        <v>0</v>
      </c>
    </row>
    <row r="134" spans="1:17">
      <c r="A134" s="11" t="s">
        <v>162</v>
      </c>
      <c r="B134" s="12" t="s">
        <v>161</v>
      </c>
      <c r="C134" s="12" t="s">
        <v>163</v>
      </c>
      <c r="D134" s="12" t="s">
        <v>164</v>
      </c>
      <c r="E134" s="15">
        <v>100</v>
      </c>
      <c r="F134" s="472">
        <f>E134+J134+K134</f>
        <v>100</v>
      </c>
      <c r="G134" s="14">
        <f>'прил.5 ВЕДОМ.СТР.РАСХ.'!E117</f>
        <v>100</v>
      </c>
      <c r="J134" s="9"/>
      <c r="K134" s="10"/>
      <c r="L134" s="9"/>
      <c r="M134" s="10"/>
      <c r="N134" s="9"/>
      <c r="O134" s="10"/>
      <c r="P134" s="440">
        <f>'прил.5 ВЕДОМ.СТР.РАСХ.'!K117</f>
        <v>0</v>
      </c>
      <c r="Q134" s="386">
        <f t="shared" si="22"/>
        <v>0</v>
      </c>
    </row>
    <row r="135" spans="1:17" ht="38.25">
      <c r="A135" s="296" t="s">
        <v>165</v>
      </c>
      <c r="B135" s="297" t="s">
        <v>166</v>
      </c>
      <c r="C135" s="297" t="s">
        <v>14</v>
      </c>
      <c r="D135" s="297"/>
      <c r="E135" s="298">
        <f>E136</f>
        <v>26.7</v>
      </c>
      <c r="F135" s="473">
        <f>F136</f>
        <v>26.7</v>
      </c>
      <c r="G135" s="486">
        <f>G136</f>
        <v>295</v>
      </c>
      <c r="J135" s="9"/>
      <c r="K135" s="10"/>
      <c r="L135" s="9"/>
      <c r="M135" s="10"/>
      <c r="N135" s="9"/>
      <c r="O135" s="10"/>
      <c r="P135" s="571">
        <f>P136</f>
        <v>141</v>
      </c>
      <c r="Q135" s="415">
        <f t="shared" si="22"/>
        <v>0.47796610169491527</v>
      </c>
    </row>
    <row r="136" spans="1:17" ht="25.5">
      <c r="A136" s="11" t="s">
        <v>24</v>
      </c>
      <c r="B136" s="12" t="s">
        <v>166</v>
      </c>
      <c r="C136" s="12" t="s">
        <v>19</v>
      </c>
      <c r="D136" s="12" t="s">
        <v>138</v>
      </c>
      <c r="E136" s="15">
        <v>26.7</v>
      </c>
      <c r="F136" s="472">
        <f>E136+J136+K136</f>
        <v>26.7</v>
      </c>
      <c r="G136" s="37">
        <f>'прил.5 ВЕДОМ.СТР.РАСХ.'!E119</f>
        <v>295</v>
      </c>
      <c r="J136" s="702"/>
      <c r="K136" s="703"/>
      <c r="L136" s="340">
        <v>118.3</v>
      </c>
      <c r="M136" s="341"/>
      <c r="N136" s="342">
        <v>150</v>
      </c>
      <c r="O136" s="10"/>
      <c r="P136" s="534">
        <f>'прил.5 ВЕДОМ.СТР.РАСХ.'!K119</f>
        <v>141</v>
      </c>
      <c r="Q136" s="388">
        <f t="shared" si="22"/>
        <v>0.47796610169491527</v>
      </c>
    </row>
    <row r="137" spans="1:17" ht="25.5">
      <c r="A137" s="296" t="s">
        <v>167</v>
      </c>
      <c r="B137" s="297" t="s">
        <v>168</v>
      </c>
      <c r="C137" s="297" t="s">
        <v>14</v>
      </c>
      <c r="D137" s="297"/>
      <c r="E137" s="298">
        <f>E138+E139</f>
        <v>411.40000000000003</v>
      </c>
      <c r="F137" s="473">
        <f>F138+F139</f>
        <v>411.40000000000003</v>
      </c>
      <c r="G137" s="486">
        <f>G138+G139</f>
        <v>532.20000000000005</v>
      </c>
      <c r="J137" s="9"/>
      <c r="K137" s="10"/>
      <c r="L137" s="9"/>
      <c r="M137" s="10"/>
      <c r="N137" s="9"/>
      <c r="O137" s="10"/>
      <c r="P137" s="571">
        <f>P138+P139</f>
        <v>521.68310000000008</v>
      </c>
      <c r="Q137" s="415">
        <f t="shared" si="22"/>
        <v>0.98023881999248408</v>
      </c>
    </row>
    <row r="138" spans="1:17" ht="25.5">
      <c r="A138" s="11" t="s">
        <v>24</v>
      </c>
      <c r="B138" s="12" t="s">
        <v>169</v>
      </c>
      <c r="C138" s="12" t="s">
        <v>19</v>
      </c>
      <c r="D138" s="12" t="s">
        <v>138</v>
      </c>
      <c r="E138" s="15">
        <v>386.3</v>
      </c>
      <c r="F138" s="472">
        <f>E138+J138+K138</f>
        <v>386.3</v>
      </c>
      <c r="G138" s="14">
        <f>'прил.5 ВЕДОМ.СТР.РАСХ.'!E121</f>
        <v>457.1</v>
      </c>
      <c r="J138" s="20"/>
      <c r="K138" s="31"/>
      <c r="L138" s="9"/>
      <c r="M138" s="10"/>
      <c r="N138" s="9">
        <v>70.8</v>
      </c>
      <c r="O138" s="10"/>
      <c r="P138" s="440">
        <f>'прил.5 ВЕДОМ.СТР.РАСХ.'!K121</f>
        <v>450.81422000000003</v>
      </c>
      <c r="Q138" s="386">
        <f t="shared" si="22"/>
        <v>0.98624856705316122</v>
      </c>
    </row>
    <row r="139" spans="1:17">
      <c r="A139" s="11" t="s">
        <v>170</v>
      </c>
      <c r="B139" s="12" t="s">
        <v>169</v>
      </c>
      <c r="C139" s="12" t="s">
        <v>171</v>
      </c>
      <c r="D139" s="12" t="s">
        <v>138</v>
      </c>
      <c r="E139" s="15">
        <v>25.1</v>
      </c>
      <c r="F139" s="472">
        <f>E139+J139+K139</f>
        <v>25.1</v>
      </c>
      <c r="G139" s="14">
        <f>'прил.5 ВЕДОМ.СТР.РАСХ.'!E122</f>
        <v>75.099999999999994</v>
      </c>
      <c r="J139" s="9"/>
      <c r="K139" s="10"/>
      <c r="L139" s="9"/>
      <c r="M139" s="10"/>
      <c r="N139" s="9"/>
      <c r="O139" s="10"/>
      <c r="P139" s="440">
        <f>'прил.5 ВЕДОМ.СТР.РАСХ.'!K122</f>
        <v>70.868880000000004</v>
      </c>
      <c r="Q139" s="386">
        <f t="shared" si="22"/>
        <v>0.94366018641810934</v>
      </c>
    </row>
    <row r="140" spans="1:17" ht="25.5">
      <c r="A140" s="343" t="s">
        <v>172</v>
      </c>
      <c r="B140" s="344" t="s">
        <v>173</v>
      </c>
      <c r="C140" s="344"/>
      <c r="D140" s="344"/>
      <c r="E140" s="345">
        <f>E141</f>
        <v>59.76</v>
      </c>
      <c r="F140" s="480">
        <f>F141</f>
        <v>59.76</v>
      </c>
      <c r="G140" s="493">
        <f>G141</f>
        <v>59.76</v>
      </c>
      <c r="J140" s="9"/>
      <c r="K140" s="10"/>
      <c r="L140" s="9"/>
      <c r="M140" s="10"/>
      <c r="N140" s="9"/>
      <c r="O140" s="10"/>
      <c r="P140" s="585">
        <f>P141</f>
        <v>51.28</v>
      </c>
      <c r="Q140" s="423">
        <f t="shared" si="22"/>
        <v>0.85809906291834004</v>
      </c>
    </row>
    <row r="141" spans="1:17" ht="25.5">
      <c r="A141" s="11" t="s">
        <v>18</v>
      </c>
      <c r="B141" s="12" t="s">
        <v>173</v>
      </c>
      <c r="C141" s="12" t="s">
        <v>19</v>
      </c>
      <c r="D141" s="12" t="s">
        <v>138</v>
      </c>
      <c r="E141" s="15">
        <v>59.76</v>
      </c>
      <c r="F141" s="472">
        <f>E141+J141+K141</f>
        <v>59.76</v>
      </c>
      <c r="G141" s="14">
        <f>'прил.5 ВЕДОМ.СТР.РАСХ.'!E124</f>
        <v>59.76</v>
      </c>
      <c r="J141" s="9"/>
      <c r="K141" s="10"/>
      <c r="L141" s="9"/>
      <c r="M141" s="10"/>
      <c r="N141" s="9"/>
      <c r="O141" s="10"/>
      <c r="P141" s="440">
        <f>'прил.5 ВЕДОМ.СТР.РАСХ.'!K124</f>
        <v>51.28</v>
      </c>
      <c r="Q141" s="386">
        <f t="shared" si="22"/>
        <v>0.85809906291834004</v>
      </c>
    </row>
    <row r="142" spans="1:17" ht="38.25">
      <c r="A142" s="296" t="s">
        <v>174</v>
      </c>
      <c r="B142" s="297" t="s">
        <v>175</v>
      </c>
      <c r="C142" s="297" t="s">
        <v>14</v>
      </c>
      <c r="D142" s="297"/>
      <c r="E142" s="298">
        <f>E143</f>
        <v>1113.52</v>
      </c>
      <c r="F142" s="473">
        <f>F143</f>
        <v>1113.52</v>
      </c>
      <c r="G142" s="486">
        <f>G143</f>
        <v>1023.52</v>
      </c>
      <c r="J142" s="9"/>
      <c r="K142" s="10"/>
      <c r="L142" s="9"/>
      <c r="M142" s="10"/>
      <c r="N142" s="9"/>
      <c r="O142" s="10"/>
      <c r="P142" s="571">
        <f>P143</f>
        <v>1021.92</v>
      </c>
      <c r="Q142" s="415">
        <f t="shared" si="22"/>
        <v>0.99843676723464125</v>
      </c>
    </row>
    <row r="143" spans="1:17">
      <c r="A143" s="11" t="s">
        <v>176</v>
      </c>
      <c r="B143" s="12" t="s">
        <v>175</v>
      </c>
      <c r="C143" s="12" t="s">
        <v>177</v>
      </c>
      <c r="D143" s="12" t="s">
        <v>178</v>
      </c>
      <c r="E143" s="15">
        <v>1113.52</v>
      </c>
      <c r="F143" s="472">
        <f>E143+J143+K143</f>
        <v>1113.52</v>
      </c>
      <c r="G143" s="37">
        <f>'прил.5 ВЕДОМ.СТР.РАСХ.'!E126</f>
        <v>1023.52</v>
      </c>
      <c r="J143" s="9"/>
      <c r="K143" s="10"/>
      <c r="L143" s="346">
        <v>-90</v>
      </c>
      <c r="M143" s="10" t="s">
        <v>546</v>
      </c>
      <c r="N143" s="9"/>
      <c r="O143" s="10"/>
      <c r="P143" s="534">
        <f>'прил.5 ВЕДОМ.СТР.РАСХ.'!K126</f>
        <v>1021.92</v>
      </c>
      <c r="Q143" s="388">
        <f t="shared" si="22"/>
        <v>0.99843676723464125</v>
      </c>
    </row>
    <row r="144" spans="1:17" ht="25.5" hidden="1">
      <c r="A144" s="296" t="s">
        <v>179</v>
      </c>
      <c r="B144" s="297" t="s">
        <v>180</v>
      </c>
      <c r="C144" s="297" t="s">
        <v>14</v>
      </c>
      <c r="D144" s="297"/>
      <c r="E144" s="298">
        <f>E145</f>
        <v>0</v>
      </c>
      <c r="F144" s="473">
        <f>F145</f>
        <v>0</v>
      </c>
      <c r="G144" s="486">
        <f>G145</f>
        <v>0</v>
      </c>
      <c r="J144" s="9"/>
      <c r="K144" s="10"/>
      <c r="L144" s="9"/>
      <c r="M144" s="10"/>
      <c r="N144" s="9"/>
      <c r="O144" s="10"/>
      <c r="P144" s="571">
        <f>P145</f>
        <v>0</v>
      </c>
      <c r="Q144" s="415" t="e">
        <f t="shared" si="22"/>
        <v>#DIV/0!</v>
      </c>
    </row>
    <row r="145" spans="1:17" ht="25.5" hidden="1">
      <c r="A145" s="11" t="s">
        <v>24</v>
      </c>
      <c r="B145" s="12" t="s">
        <v>180</v>
      </c>
      <c r="C145" s="12" t="s">
        <v>19</v>
      </c>
      <c r="D145" s="12" t="s">
        <v>181</v>
      </c>
      <c r="E145" s="15"/>
      <c r="F145" s="472">
        <f>E145+J145+K145</f>
        <v>0</v>
      </c>
      <c r="G145" s="14">
        <f>'прил.5 ВЕДОМ.СТР.РАСХ.'!E128</f>
        <v>0</v>
      </c>
      <c r="J145" s="9"/>
      <c r="K145" s="10"/>
      <c r="L145" s="9"/>
      <c r="M145" s="10"/>
      <c r="N145" s="9"/>
      <c r="O145" s="10"/>
      <c r="P145" s="440">
        <f>'прил.5 ВЕДОМ.СТР.РАСХ.'!K128</f>
        <v>0</v>
      </c>
      <c r="Q145" s="386" t="e">
        <f t="shared" si="22"/>
        <v>#DIV/0!</v>
      </c>
    </row>
    <row r="146" spans="1:17" ht="38.25">
      <c r="A146" s="343" t="s">
        <v>182</v>
      </c>
      <c r="B146" s="344" t="s">
        <v>183</v>
      </c>
      <c r="C146" s="344"/>
      <c r="D146" s="344"/>
      <c r="E146" s="345">
        <f>E147</f>
        <v>0</v>
      </c>
      <c r="F146" s="480">
        <f>F147</f>
        <v>112</v>
      </c>
      <c r="G146" s="493">
        <f>G147</f>
        <v>112</v>
      </c>
      <c r="J146" s="9"/>
      <c r="K146" s="10"/>
      <c r="L146" s="9"/>
      <c r="M146" s="10"/>
      <c r="N146" s="9"/>
      <c r="O146" s="10"/>
      <c r="P146" s="585">
        <f>P147</f>
        <v>112</v>
      </c>
      <c r="Q146" s="423">
        <f t="shared" si="22"/>
        <v>1</v>
      </c>
    </row>
    <row r="147" spans="1:17" ht="25.5">
      <c r="A147" s="11" t="s">
        <v>18</v>
      </c>
      <c r="B147" s="12" t="s">
        <v>183</v>
      </c>
      <c r="C147" s="12" t="s">
        <v>19</v>
      </c>
      <c r="D147" s="12" t="s">
        <v>138</v>
      </c>
      <c r="E147" s="15">
        <v>0</v>
      </c>
      <c r="F147" s="472">
        <f>E147+J147+K147</f>
        <v>112</v>
      </c>
      <c r="G147" s="14">
        <f>'прил.5 ВЕДОМ.СТР.РАСХ.'!E130</f>
        <v>112</v>
      </c>
      <c r="J147" s="9">
        <v>112</v>
      </c>
      <c r="K147" s="10"/>
      <c r="L147" s="9"/>
      <c r="M147" s="10"/>
      <c r="N147" s="9"/>
      <c r="O147" s="10"/>
      <c r="P147" s="440">
        <f>'прил.5 ВЕДОМ.СТР.РАСХ.'!K130</f>
        <v>112</v>
      </c>
      <c r="Q147" s="386">
        <f t="shared" si="22"/>
        <v>1</v>
      </c>
    </row>
    <row r="148" spans="1:17" ht="38.25">
      <c r="A148" s="343" t="s">
        <v>184</v>
      </c>
      <c r="B148" s="344" t="s">
        <v>185</v>
      </c>
      <c r="C148" s="344"/>
      <c r="D148" s="344"/>
      <c r="E148" s="345">
        <f>E149</f>
        <v>0</v>
      </c>
      <c r="F148" s="480">
        <f>F149</f>
        <v>50</v>
      </c>
      <c r="G148" s="493">
        <f>G149</f>
        <v>61.73</v>
      </c>
      <c r="J148" s="9"/>
      <c r="K148" s="10"/>
      <c r="L148" s="9"/>
      <c r="M148" s="10"/>
      <c r="N148" s="9"/>
      <c r="O148" s="10"/>
      <c r="P148" s="585">
        <f>P149</f>
        <v>61.71848</v>
      </c>
      <c r="Q148" s="423">
        <f t="shared" si="22"/>
        <v>0.99981338085209792</v>
      </c>
    </row>
    <row r="149" spans="1:17" ht="25.5">
      <c r="A149" s="11" t="s">
        <v>18</v>
      </c>
      <c r="B149" s="12" t="s">
        <v>185</v>
      </c>
      <c r="C149" s="12" t="s">
        <v>19</v>
      </c>
      <c r="D149" s="12" t="s">
        <v>138</v>
      </c>
      <c r="E149" s="15">
        <v>0</v>
      </c>
      <c r="F149" s="472">
        <f>E149+J149+K149</f>
        <v>50</v>
      </c>
      <c r="G149" s="14">
        <f>'прил.5 ВЕДОМ.СТР.РАСХ.'!E132</f>
        <v>61.73</v>
      </c>
      <c r="J149" s="9"/>
      <c r="K149" s="10">
        <v>50</v>
      </c>
      <c r="L149" s="9"/>
      <c r="M149" s="10"/>
      <c r="N149" s="9"/>
      <c r="O149" s="10"/>
      <c r="P149" s="440">
        <f>'прил.5 ВЕДОМ.СТР.РАСХ.'!K132</f>
        <v>61.71848</v>
      </c>
      <c r="Q149" s="386">
        <f t="shared" si="22"/>
        <v>0.99981338085209792</v>
      </c>
    </row>
    <row r="150" spans="1:17" ht="25.5">
      <c r="A150" s="296" t="s">
        <v>186</v>
      </c>
      <c r="B150" s="297" t="s">
        <v>187</v>
      </c>
      <c r="C150" s="297"/>
      <c r="D150" s="297"/>
      <c r="E150" s="298">
        <f>E151+E152</f>
        <v>454.5</v>
      </c>
      <c r="F150" s="473">
        <f>F151+F152</f>
        <v>400.56099999999998</v>
      </c>
      <c r="G150" s="486">
        <f>G151+G152</f>
        <v>297.53000000000003</v>
      </c>
      <c r="J150" s="9"/>
      <c r="K150" s="10"/>
      <c r="L150" s="9"/>
      <c r="M150" s="10"/>
      <c r="N150" s="9"/>
      <c r="O150" s="10"/>
      <c r="P150" s="571">
        <f>P151+P152</f>
        <v>297.53000000000003</v>
      </c>
      <c r="Q150" s="415">
        <f t="shared" si="22"/>
        <v>1</v>
      </c>
    </row>
    <row r="151" spans="1:17" ht="25.5">
      <c r="A151" s="11" t="s">
        <v>123</v>
      </c>
      <c r="B151" s="12" t="s">
        <v>188</v>
      </c>
      <c r="C151" s="12" t="s">
        <v>124</v>
      </c>
      <c r="D151" s="12" t="s">
        <v>189</v>
      </c>
      <c r="E151" s="15">
        <v>430.93</v>
      </c>
      <c r="F151" s="472">
        <f>E151+J151+K151</f>
        <v>382.11099999999999</v>
      </c>
      <c r="G151" s="37">
        <f>'прил.5 ВЕДОМ.СТР.РАСХ.'!E134</f>
        <v>280.63161000000002</v>
      </c>
      <c r="J151" s="20">
        <v>-48.819000000000003</v>
      </c>
      <c r="K151" s="10"/>
      <c r="L151" s="26">
        <v>-94.382000000000005</v>
      </c>
      <c r="M151" s="330"/>
      <c r="N151" s="329">
        <v>-30.669</v>
      </c>
      <c r="O151" s="10"/>
      <c r="P151" s="534">
        <f>'прил.5 ВЕДОМ.СТР.РАСХ.'!K134</f>
        <v>280.63161000000002</v>
      </c>
      <c r="Q151" s="388">
        <f t="shared" si="22"/>
        <v>1</v>
      </c>
    </row>
    <row r="152" spans="1:17" ht="25.5">
      <c r="A152" s="11" t="s">
        <v>24</v>
      </c>
      <c r="B152" s="12" t="s">
        <v>188</v>
      </c>
      <c r="C152" s="12" t="s">
        <v>19</v>
      </c>
      <c r="D152" s="12" t="s">
        <v>189</v>
      </c>
      <c r="E152" s="15">
        <v>23.57</v>
      </c>
      <c r="F152" s="472">
        <f>E152+J152+K152</f>
        <v>18.45</v>
      </c>
      <c r="G152" s="37">
        <f>'прил.5 ВЕДОМ.СТР.РАСХ.'!E135</f>
        <v>16.898389999999999</v>
      </c>
      <c r="J152" s="9">
        <v>-5.12</v>
      </c>
      <c r="K152" s="10"/>
      <c r="L152" s="9"/>
      <c r="M152" s="10"/>
      <c r="N152" s="9"/>
      <c r="O152" s="10"/>
      <c r="P152" s="534">
        <f>'прил.5 ВЕДОМ.СТР.РАСХ.'!K135</f>
        <v>16.898389999999999</v>
      </c>
      <c r="Q152" s="388">
        <f t="shared" si="22"/>
        <v>1</v>
      </c>
    </row>
    <row r="153" spans="1:17" ht="76.5">
      <c r="A153" s="296" t="s">
        <v>190</v>
      </c>
      <c r="B153" s="297" t="s">
        <v>191</v>
      </c>
      <c r="C153" s="297" t="s">
        <v>14</v>
      </c>
      <c r="D153" s="297"/>
      <c r="E153" s="298">
        <f>E154</f>
        <v>0</v>
      </c>
      <c r="F153" s="473">
        <f>F154</f>
        <v>0</v>
      </c>
      <c r="G153" s="486">
        <f>G154</f>
        <v>482.34</v>
      </c>
      <c r="J153" s="9"/>
      <c r="K153" s="10"/>
      <c r="L153" s="9"/>
      <c r="M153" s="10"/>
      <c r="N153" s="9"/>
      <c r="O153" s="10"/>
      <c r="P153" s="571">
        <f>P154</f>
        <v>482.34</v>
      </c>
      <c r="Q153" s="415">
        <f t="shared" si="22"/>
        <v>1</v>
      </c>
    </row>
    <row r="154" spans="1:17" ht="25.5">
      <c r="A154" s="11" t="s">
        <v>24</v>
      </c>
      <c r="B154" s="12" t="s">
        <v>191</v>
      </c>
      <c r="C154" s="12" t="s">
        <v>19</v>
      </c>
      <c r="D154" s="12" t="s">
        <v>80</v>
      </c>
      <c r="E154" s="15">
        <v>0</v>
      </c>
      <c r="F154" s="472">
        <f>E154+J154+K154</f>
        <v>0</v>
      </c>
      <c r="G154" s="37">
        <f>'прил.5 ВЕДОМ.СТР.РАСХ.'!E137</f>
        <v>482.34</v>
      </c>
      <c r="J154" s="9"/>
      <c r="K154" s="10"/>
      <c r="L154" s="26">
        <v>482.34</v>
      </c>
      <c r="M154" s="49"/>
      <c r="N154" s="9"/>
      <c r="O154" s="10"/>
      <c r="P154" s="534">
        <f>'прил.5 ВЕДОМ.СТР.РАСХ.'!K137</f>
        <v>482.34</v>
      </c>
      <c r="Q154" s="388">
        <f t="shared" si="22"/>
        <v>1</v>
      </c>
    </row>
    <row r="155" spans="1:17" ht="25.5">
      <c r="A155" s="347" t="s">
        <v>192</v>
      </c>
      <c r="B155" s="297" t="s">
        <v>193</v>
      </c>
      <c r="C155" s="297" t="s">
        <v>14</v>
      </c>
      <c r="D155" s="297"/>
      <c r="E155" s="298">
        <f>E156</f>
        <v>0</v>
      </c>
      <c r="F155" s="473">
        <f>F156</f>
        <v>0</v>
      </c>
      <c r="G155" s="313">
        <f>G156</f>
        <v>250</v>
      </c>
      <c r="J155" s="9"/>
      <c r="K155" s="10"/>
      <c r="L155" s="302"/>
      <c r="M155" s="49"/>
      <c r="N155" s="9"/>
      <c r="O155" s="10"/>
      <c r="P155" s="570">
        <f>P156</f>
        <v>250</v>
      </c>
      <c r="Q155" s="414">
        <f t="shared" si="22"/>
        <v>1</v>
      </c>
    </row>
    <row r="156" spans="1:17" ht="25.5">
      <c r="A156" s="11" t="s">
        <v>24</v>
      </c>
      <c r="B156" s="12" t="s">
        <v>193</v>
      </c>
      <c r="C156" s="12" t="s">
        <v>19</v>
      </c>
      <c r="D156" s="12" t="s">
        <v>68</v>
      </c>
      <c r="E156" s="15">
        <v>0</v>
      </c>
      <c r="F156" s="472">
        <f>E156+J156+K156</f>
        <v>0</v>
      </c>
      <c r="G156" s="37">
        <f>'прил.5 ВЕДОМ.СТР.РАСХ.'!E139</f>
        <v>250</v>
      </c>
      <c r="J156" s="9"/>
      <c r="K156" s="10"/>
      <c r="L156" s="26">
        <v>150</v>
      </c>
      <c r="M156" s="49">
        <v>100</v>
      </c>
      <c r="N156" s="9"/>
      <c r="O156" s="10"/>
      <c r="P156" s="534">
        <f>'прил.5 ВЕДОМ.СТР.РАСХ.'!K139</f>
        <v>250</v>
      </c>
      <c r="Q156" s="388">
        <f t="shared" si="22"/>
        <v>1</v>
      </c>
    </row>
    <row r="157" spans="1:17">
      <c r="A157" s="296" t="s">
        <v>194</v>
      </c>
      <c r="B157" s="297" t="s">
        <v>195</v>
      </c>
      <c r="C157" s="297" t="s">
        <v>14</v>
      </c>
      <c r="D157" s="297"/>
      <c r="E157" s="298">
        <f>E158</f>
        <v>0</v>
      </c>
      <c r="F157" s="473">
        <f>F158</f>
        <v>10</v>
      </c>
      <c r="G157" s="486">
        <f>G158</f>
        <v>10</v>
      </c>
      <c r="J157" s="9"/>
      <c r="K157" s="10"/>
      <c r="L157" s="9"/>
      <c r="M157" s="10"/>
      <c r="N157" s="9"/>
      <c r="O157" s="10"/>
      <c r="P157" s="571">
        <f>P158</f>
        <v>9.4499999999999993</v>
      </c>
      <c r="Q157" s="415">
        <f t="shared" si="22"/>
        <v>0.94499999999999995</v>
      </c>
    </row>
    <row r="158" spans="1:17" ht="25.5">
      <c r="A158" s="11" t="s">
        <v>24</v>
      </c>
      <c r="B158" s="12" t="s">
        <v>195</v>
      </c>
      <c r="C158" s="12" t="s">
        <v>19</v>
      </c>
      <c r="D158" s="12" t="s">
        <v>28</v>
      </c>
      <c r="E158" s="15">
        <v>0</v>
      </c>
      <c r="F158" s="472">
        <f>E158+J158+K158</f>
        <v>10</v>
      </c>
      <c r="G158" s="14">
        <f>'прил.5 ВЕДОМ.СТР.РАСХ.'!E141</f>
        <v>10</v>
      </c>
      <c r="J158" s="9"/>
      <c r="K158" s="10">
        <v>10</v>
      </c>
      <c r="L158" s="9"/>
      <c r="M158" s="10"/>
      <c r="N158" s="9"/>
      <c r="O158" s="10"/>
      <c r="P158" s="440">
        <f>'прил.5 ВЕДОМ.СТР.РАСХ.'!K141</f>
        <v>9.4499999999999993</v>
      </c>
      <c r="Q158" s="386">
        <f t="shared" si="22"/>
        <v>0.94499999999999995</v>
      </c>
    </row>
    <row r="159" spans="1:17" ht="25.5">
      <c r="A159" s="296" t="s">
        <v>196</v>
      </c>
      <c r="B159" s="297" t="s">
        <v>197</v>
      </c>
      <c r="C159" s="297" t="s">
        <v>14</v>
      </c>
      <c r="D159" s="297"/>
      <c r="E159" s="298">
        <f>E160</f>
        <v>576.1</v>
      </c>
      <c r="F159" s="473">
        <f>F160</f>
        <v>576.1</v>
      </c>
      <c r="G159" s="486">
        <f>G160</f>
        <v>576.1</v>
      </c>
      <c r="J159" s="9"/>
      <c r="K159" s="10"/>
      <c r="L159" s="9"/>
      <c r="M159" s="10"/>
      <c r="N159" s="9"/>
      <c r="O159" s="10"/>
      <c r="P159" s="571">
        <f>P160</f>
        <v>496.58322000000004</v>
      </c>
      <c r="Q159" s="415">
        <f t="shared" si="22"/>
        <v>0.86197399756986637</v>
      </c>
    </row>
    <row r="160" spans="1:17" ht="25.5">
      <c r="A160" s="11" t="s">
        <v>24</v>
      </c>
      <c r="B160" s="12" t="s">
        <v>197</v>
      </c>
      <c r="C160" s="12" t="s">
        <v>19</v>
      </c>
      <c r="D160" s="12" t="s">
        <v>138</v>
      </c>
      <c r="E160" s="15">
        <v>576.1</v>
      </c>
      <c r="F160" s="472">
        <f>E160+J160+K160</f>
        <v>576.1</v>
      </c>
      <c r="G160" s="14">
        <f>'прил.5 ВЕДОМ.СТР.РАСХ.'!E143</f>
        <v>576.1</v>
      </c>
      <c r="J160" s="9"/>
      <c r="K160" s="10"/>
      <c r="L160" s="9"/>
      <c r="M160" s="10"/>
      <c r="N160" s="9"/>
      <c r="O160" s="10"/>
      <c r="P160" s="440">
        <f>'прил.5 ВЕДОМ.СТР.РАСХ.'!K143</f>
        <v>496.58322000000004</v>
      </c>
      <c r="Q160" s="386">
        <f t="shared" si="22"/>
        <v>0.86197399756986637</v>
      </c>
    </row>
    <row r="161" spans="1:17" ht="38.25">
      <c r="A161" s="296" t="s">
        <v>198</v>
      </c>
      <c r="B161" s="297" t="s">
        <v>199</v>
      </c>
      <c r="C161" s="297" t="s">
        <v>14</v>
      </c>
      <c r="D161" s="297"/>
      <c r="E161" s="298">
        <f>E162</f>
        <v>0</v>
      </c>
      <c r="F161" s="473">
        <f>F162</f>
        <v>10</v>
      </c>
      <c r="G161" s="486">
        <f>G162</f>
        <v>10</v>
      </c>
      <c r="J161" s="9"/>
      <c r="K161" s="10"/>
      <c r="L161" s="9"/>
      <c r="M161" s="10"/>
      <c r="N161" s="9"/>
      <c r="O161" s="10"/>
      <c r="P161" s="571">
        <f>P162</f>
        <v>10</v>
      </c>
      <c r="Q161" s="415">
        <f t="shared" si="22"/>
        <v>1</v>
      </c>
    </row>
    <row r="162" spans="1:17" ht="25.5">
      <c r="A162" s="11" t="s">
        <v>24</v>
      </c>
      <c r="B162" s="12" t="s">
        <v>199</v>
      </c>
      <c r="C162" s="12" t="s">
        <v>19</v>
      </c>
      <c r="D162" s="12" t="s">
        <v>32</v>
      </c>
      <c r="E162" s="15">
        <v>0</v>
      </c>
      <c r="F162" s="472">
        <f>E162+J162+K162</f>
        <v>10</v>
      </c>
      <c r="G162" s="14">
        <f>'прил.5 ВЕДОМ.СТР.РАСХ.'!E145</f>
        <v>10</v>
      </c>
      <c r="J162" s="9"/>
      <c r="K162" s="10">
        <v>10</v>
      </c>
      <c r="L162" s="9"/>
      <c r="M162" s="10"/>
      <c r="N162" s="9"/>
      <c r="O162" s="10"/>
      <c r="P162" s="440">
        <f>'прил.5 ВЕДОМ.СТР.РАСХ.'!K145</f>
        <v>10</v>
      </c>
      <c r="Q162" s="386">
        <f t="shared" si="22"/>
        <v>1</v>
      </c>
    </row>
    <row r="163" spans="1:17">
      <c r="A163" s="296" t="s">
        <v>200</v>
      </c>
      <c r="B163" s="297" t="s">
        <v>201</v>
      </c>
      <c r="C163" s="297" t="s">
        <v>14</v>
      </c>
      <c r="D163" s="297"/>
      <c r="E163" s="298">
        <f>E164</f>
        <v>53.6</v>
      </c>
      <c r="F163" s="473">
        <f>F164</f>
        <v>53.6</v>
      </c>
      <c r="G163" s="486">
        <f>G164</f>
        <v>53.6</v>
      </c>
      <c r="J163" s="9"/>
      <c r="K163" s="10"/>
      <c r="L163" s="9"/>
      <c r="M163" s="10"/>
      <c r="N163" s="9"/>
      <c r="O163" s="10"/>
      <c r="P163" s="571">
        <f>P164</f>
        <v>53.5</v>
      </c>
      <c r="Q163" s="415">
        <f t="shared" si="22"/>
        <v>0.99813432835820892</v>
      </c>
    </row>
    <row r="164" spans="1:17" ht="26.25" thickBot="1">
      <c r="A164" s="32" t="s">
        <v>24</v>
      </c>
      <c r="B164" s="33" t="s">
        <v>201</v>
      </c>
      <c r="C164" s="33" t="s">
        <v>19</v>
      </c>
      <c r="D164" s="33" t="s">
        <v>138</v>
      </c>
      <c r="E164" s="328">
        <v>53.6</v>
      </c>
      <c r="F164" s="472">
        <f>E164+J164+K164</f>
        <v>53.6</v>
      </c>
      <c r="G164" s="494">
        <f>'прил.5 ВЕДОМ.СТР.РАСХ.'!E147</f>
        <v>53.6</v>
      </c>
      <c r="J164" s="9"/>
      <c r="K164" s="10"/>
      <c r="L164" s="9"/>
      <c r="M164" s="10"/>
      <c r="N164" s="9"/>
      <c r="O164" s="10"/>
      <c r="P164" s="586">
        <f>'прил.5 ВЕДОМ.СТР.РАСХ.'!K147</f>
        <v>53.5</v>
      </c>
      <c r="Q164" s="424">
        <f t="shared" si="22"/>
        <v>0.99813432835820892</v>
      </c>
    </row>
    <row r="165" spans="1:17" ht="38.25">
      <c r="A165" s="296" t="s">
        <v>202</v>
      </c>
      <c r="B165" s="297" t="s">
        <v>203</v>
      </c>
      <c r="C165" s="297" t="s">
        <v>14</v>
      </c>
      <c r="D165" s="297"/>
      <c r="E165" s="298">
        <f>E166</f>
        <v>0</v>
      </c>
      <c r="F165" s="473">
        <f>F166</f>
        <v>0</v>
      </c>
      <c r="G165" s="486">
        <f>G166</f>
        <v>104.42283</v>
      </c>
      <c r="J165" s="9"/>
      <c r="K165" s="10"/>
      <c r="L165" s="9"/>
      <c r="M165" s="10"/>
      <c r="N165" s="9"/>
      <c r="O165" s="10"/>
      <c r="P165" s="571">
        <f>P166</f>
        <v>104.42283</v>
      </c>
      <c r="Q165" s="415">
        <f t="shared" si="22"/>
        <v>1</v>
      </c>
    </row>
    <row r="166" spans="1:17" ht="26.25" thickBot="1">
      <c r="A166" s="11" t="s">
        <v>24</v>
      </c>
      <c r="B166" s="12" t="s">
        <v>203</v>
      </c>
      <c r="C166" s="12" t="s">
        <v>19</v>
      </c>
      <c r="D166" s="12" t="s">
        <v>80</v>
      </c>
      <c r="E166" s="15">
        <v>0</v>
      </c>
      <c r="F166" s="472">
        <f>E166+J166+K166</f>
        <v>0</v>
      </c>
      <c r="G166" s="592">
        <f>'прил.5 ВЕДОМ.СТР.РАСХ.'!E149</f>
        <v>104.42283</v>
      </c>
      <c r="J166" s="704"/>
      <c r="K166" s="705"/>
      <c r="L166" s="26">
        <v>217.66</v>
      </c>
      <c r="M166" s="49"/>
      <c r="N166" s="43">
        <v>-113.23699999999999</v>
      </c>
      <c r="O166" s="348"/>
      <c r="P166" s="534">
        <f>'прил.5 ВЕДОМ.СТР.РАСХ.'!K149</f>
        <v>104.42283</v>
      </c>
      <c r="Q166" s="388">
        <f t="shared" si="22"/>
        <v>1</v>
      </c>
    </row>
    <row r="167" spans="1:17" ht="15" thickBot="1">
      <c r="A167" s="349" t="s">
        <v>224</v>
      </c>
      <c r="B167" s="350"/>
      <c r="C167" s="350"/>
      <c r="D167" s="350"/>
      <c r="E167" s="351">
        <f>E8+E107</f>
        <v>38275.229999999996</v>
      </c>
      <c r="F167" s="351">
        <f>F8+F107</f>
        <v>37710.161</v>
      </c>
      <c r="G167" s="352">
        <f t="shared" ref="G167:O167" si="23">G8+G107</f>
        <v>48947.365269999995</v>
      </c>
      <c r="H167" s="352">
        <f t="shared" si="23"/>
        <v>0</v>
      </c>
      <c r="I167" s="352">
        <f t="shared" si="23"/>
        <v>0</v>
      </c>
      <c r="J167" s="352">
        <f t="shared" si="23"/>
        <v>0</v>
      </c>
      <c r="K167" s="352">
        <f t="shared" si="23"/>
        <v>0</v>
      </c>
      <c r="L167" s="352">
        <f t="shared" si="23"/>
        <v>0</v>
      </c>
      <c r="M167" s="352">
        <f t="shared" si="23"/>
        <v>0</v>
      </c>
      <c r="N167" s="352">
        <f t="shared" si="23"/>
        <v>0</v>
      </c>
      <c r="O167" s="352">
        <f t="shared" si="23"/>
        <v>0</v>
      </c>
      <c r="P167" s="352">
        <f>P8+P107</f>
        <v>44595.065219999997</v>
      </c>
      <c r="Q167" s="425">
        <f t="shared" si="22"/>
        <v>0.91108203626503392</v>
      </c>
    </row>
    <row r="169" spans="1:17">
      <c r="G169" s="562">
        <f>G167-'прил.5 ВЕДОМ.СТР.РАСХ.'!E175</f>
        <v>0</v>
      </c>
      <c r="J169" s="2">
        <f>J167+K167</f>
        <v>0</v>
      </c>
      <c r="L169" s="2">
        <f>L167+M167</f>
        <v>0</v>
      </c>
    </row>
    <row r="171" spans="1:17">
      <c r="F171" s="132"/>
    </row>
  </sheetData>
  <mergeCells count="51">
    <mergeCell ref="Q10:Q11"/>
    <mergeCell ref="Q26:Q27"/>
    <mergeCell ref="Q39:Q40"/>
    <mergeCell ref="Q71:Q72"/>
    <mergeCell ref="Q88:Q89"/>
    <mergeCell ref="P88:P89"/>
    <mergeCell ref="J136:K136"/>
    <mergeCell ref="J166:K166"/>
    <mergeCell ref="B88:B89"/>
    <mergeCell ref="C88:C89"/>
    <mergeCell ref="D88:D89"/>
    <mergeCell ref="E88:E89"/>
    <mergeCell ref="F88:F89"/>
    <mergeCell ref="G88:G89"/>
    <mergeCell ref="P39:P40"/>
    <mergeCell ref="N66:O66"/>
    <mergeCell ref="B71:B72"/>
    <mergeCell ref="C71:C72"/>
    <mergeCell ref="D71:D72"/>
    <mergeCell ref="E71:E72"/>
    <mergeCell ref="F71:F72"/>
    <mergeCell ref="G71:G72"/>
    <mergeCell ref="P71:P72"/>
    <mergeCell ref="B39:B40"/>
    <mergeCell ref="C39:C40"/>
    <mergeCell ref="D39:D40"/>
    <mergeCell ref="E39:E40"/>
    <mergeCell ref="F39:F40"/>
    <mergeCell ref="G39:G40"/>
    <mergeCell ref="P10:P11"/>
    <mergeCell ref="B26:B27"/>
    <mergeCell ref="C26:C27"/>
    <mergeCell ref="D26:D27"/>
    <mergeCell ref="E26:E27"/>
    <mergeCell ref="F26:F27"/>
    <mergeCell ref="G26:G27"/>
    <mergeCell ref="P26:P27"/>
    <mergeCell ref="J7:K7"/>
    <mergeCell ref="L7:M7"/>
    <mergeCell ref="B10:B11"/>
    <mergeCell ref="C10:C11"/>
    <mergeCell ref="D10:D11"/>
    <mergeCell ref="E10:E11"/>
    <mergeCell ref="F10:F11"/>
    <mergeCell ref="G10:G11"/>
    <mergeCell ref="P1:Q1"/>
    <mergeCell ref="A6:Q6"/>
    <mergeCell ref="B3:G3"/>
    <mergeCell ref="B4:G4"/>
    <mergeCell ref="A5:I5"/>
    <mergeCell ref="G2:Q2"/>
  </mergeCells>
  <pageMargins left="0.9055118110236221" right="0.31496062992125984" top="0.35433070866141736" bottom="0.35433070866141736" header="0.31496062992125984" footer="0.31496062992125984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6"/>
  <sheetViews>
    <sheetView view="pageBreakPreview" zoomScale="80" zoomScaleNormal="100" zoomScaleSheetLayoutView="80" workbookViewId="0">
      <selection activeCell="F9" sqref="F9"/>
    </sheetView>
  </sheetViews>
  <sheetFormatPr defaultRowHeight="15"/>
  <cols>
    <col min="1" max="1" width="9.140625" style="165"/>
    <col min="2" max="2" width="45.28515625" style="165" customWidth="1"/>
    <col min="3" max="3" width="13.7109375" style="165" customWidth="1"/>
    <col min="4" max="4" width="12.42578125" style="165" customWidth="1"/>
    <col min="5" max="5" width="14.42578125" style="165" customWidth="1"/>
    <col min="6" max="6" width="14.85546875" style="165" customWidth="1"/>
    <col min="7" max="257" width="9.140625" style="165"/>
    <col min="258" max="258" width="45.28515625" style="165" customWidth="1"/>
    <col min="259" max="259" width="12.5703125" style="165" customWidth="1"/>
    <col min="260" max="260" width="12.42578125" style="165" customWidth="1"/>
    <col min="261" max="261" width="14.42578125" style="165" customWidth="1"/>
    <col min="262" max="262" width="0" style="165" hidden="1" customWidth="1"/>
    <col min="263" max="513" width="9.140625" style="165"/>
    <col min="514" max="514" width="45.28515625" style="165" customWidth="1"/>
    <col min="515" max="515" width="12.5703125" style="165" customWidth="1"/>
    <col min="516" max="516" width="12.42578125" style="165" customWidth="1"/>
    <col min="517" max="517" width="14.42578125" style="165" customWidth="1"/>
    <col min="518" max="518" width="0" style="165" hidden="1" customWidth="1"/>
    <col min="519" max="769" width="9.140625" style="165"/>
    <col min="770" max="770" width="45.28515625" style="165" customWidth="1"/>
    <col min="771" max="771" width="12.5703125" style="165" customWidth="1"/>
    <col min="772" max="772" width="12.42578125" style="165" customWidth="1"/>
    <col min="773" max="773" width="14.42578125" style="165" customWidth="1"/>
    <col min="774" max="774" width="0" style="165" hidden="1" customWidth="1"/>
    <col min="775" max="1025" width="9.140625" style="165"/>
    <col min="1026" max="1026" width="45.28515625" style="165" customWidth="1"/>
    <col min="1027" max="1027" width="12.5703125" style="165" customWidth="1"/>
    <col min="1028" max="1028" width="12.42578125" style="165" customWidth="1"/>
    <col min="1029" max="1029" width="14.42578125" style="165" customWidth="1"/>
    <col min="1030" max="1030" width="0" style="165" hidden="1" customWidth="1"/>
    <col min="1031" max="1281" width="9.140625" style="165"/>
    <col min="1282" max="1282" width="45.28515625" style="165" customWidth="1"/>
    <col min="1283" max="1283" width="12.5703125" style="165" customWidth="1"/>
    <col min="1284" max="1284" width="12.42578125" style="165" customWidth="1"/>
    <col min="1285" max="1285" width="14.42578125" style="165" customWidth="1"/>
    <col min="1286" max="1286" width="0" style="165" hidden="1" customWidth="1"/>
    <col min="1287" max="1537" width="9.140625" style="165"/>
    <col min="1538" max="1538" width="45.28515625" style="165" customWidth="1"/>
    <col min="1539" max="1539" width="12.5703125" style="165" customWidth="1"/>
    <col min="1540" max="1540" width="12.42578125" style="165" customWidth="1"/>
    <col min="1541" max="1541" width="14.42578125" style="165" customWidth="1"/>
    <col min="1542" max="1542" width="0" style="165" hidden="1" customWidth="1"/>
    <col min="1543" max="1793" width="9.140625" style="165"/>
    <col min="1794" max="1794" width="45.28515625" style="165" customWidth="1"/>
    <col min="1795" max="1795" width="12.5703125" style="165" customWidth="1"/>
    <col min="1796" max="1796" width="12.42578125" style="165" customWidth="1"/>
    <col min="1797" max="1797" width="14.42578125" style="165" customWidth="1"/>
    <col min="1798" max="1798" width="0" style="165" hidden="1" customWidth="1"/>
    <col min="1799" max="2049" width="9.140625" style="165"/>
    <col min="2050" max="2050" width="45.28515625" style="165" customWidth="1"/>
    <col min="2051" max="2051" width="12.5703125" style="165" customWidth="1"/>
    <col min="2052" max="2052" width="12.42578125" style="165" customWidth="1"/>
    <col min="2053" max="2053" width="14.42578125" style="165" customWidth="1"/>
    <col min="2054" max="2054" width="0" style="165" hidden="1" customWidth="1"/>
    <col min="2055" max="2305" width="9.140625" style="165"/>
    <col min="2306" max="2306" width="45.28515625" style="165" customWidth="1"/>
    <col min="2307" max="2307" width="12.5703125" style="165" customWidth="1"/>
    <col min="2308" max="2308" width="12.42578125" style="165" customWidth="1"/>
    <col min="2309" max="2309" width="14.42578125" style="165" customWidth="1"/>
    <col min="2310" max="2310" width="0" style="165" hidden="1" customWidth="1"/>
    <col min="2311" max="2561" width="9.140625" style="165"/>
    <col min="2562" max="2562" width="45.28515625" style="165" customWidth="1"/>
    <col min="2563" max="2563" width="12.5703125" style="165" customWidth="1"/>
    <col min="2564" max="2564" width="12.42578125" style="165" customWidth="1"/>
    <col min="2565" max="2565" width="14.42578125" style="165" customWidth="1"/>
    <col min="2566" max="2566" width="0" style="165" hidden="1" customWidth="1"/>
    <col min="2567" max="2817" width="9.140625" style="165"/>
    <col min="2818" max="2818" width="45.28515625" style="165" customWidth="1"/>
    <col min="2819" max="2819" width="12.5703125" style="165" customWidth="1"/>
    <col min="2820" max="2820" width="12.42578125" style="165" customWidth="1"/>
    <col min="2821" max="2821" width="14.42578125" style="165" customWidth="1"/>
    <col min="2822" max="2822" width="0" style="165" hidden="1" customWidth="1"/>
    <col min="2823" max="3073" width="9.140625" style="165"/>
    <col min="3074" max="3074" width="45.28515625" style="165" customWidth="1"/>
    <col min="3075" max="3075" width="12.5703125" style="165" customWidth="1"/>
    <col min="3076" max="3076" width="12.42578125" style="165" customWidth="1"/>
    <col min="3077" max="3077" width="14.42578125" style="165" customWidth="1"/>
    <col min="3078" max="3078" width="0" style="165" hidden="1" customWidth="1"/>
    <col min="3079" max="3329" width="9.140625" style="165"/>
    <col min="3330" max="3330" width="45.28515625" style="165" customWidth="1"/>
    <col min="3331" max="3331" width="12.5703125" style="165" customWidth="1"/>
    <col min="3332" max="3332" width="12.42578125" style="165" customWidth="1"/>
    <col min="3333" max="3333" width="14.42578125" style="165" customWidth="1"/>
    <col min="3334" max="3334" width="0" style="165" hidden="1" customWidth="1"/>
    <col min="3335" max="3585" width="9.140625" style="165"/>
    <col min="3586" max="3586" width="45.28515625" style="165" customWidth="1"/>
    <col min="3587" max="3587" width="12.5703125" style="165" customWidth="1"/>
    <col min="3588" max="3588" width="12.42578125" style="165" customWidth="1"/>
    <col min="3589" max="3589" width="14.42578125" style="165" customWidth="1"/>
    <col min="3590" max="3590" width="0" style="165" hidden="1" customWidth="1"/>
    <col min="3591" max="3841" width="9.140625" style="165"/>
    <col min="3842" max="3842" width="45.28515625" style="165" customWidth="1"/>
    <col min="3843" max="3843" width="12.5703125" style="165" customWidth="1"/>
    <col min="3844" max="3844" width="12.42578125" style="165" customWidth="1"/>
    <col min="3845" max="3845" width="14.42578125" style="165" customWidth="1"/>
    <col min="3846" max="3846" width="0" style="165" hidden="1" customWidth="1"/>
    <col min="3847" max="4097" width="9.140625" style="165"/>
    <col min="4098" max="4098" width="45.28515625" style="165" customWidth="1"/>
    <col min="4099" max="4099" width="12.5703125" style="165" customWidth="1"/>
    <col min="4100" max="4100" width="12.42578125" style="165" customWidth="1"/>
    <col min="4101" max="4101" width="14.42578125" style="165" customWidth="1"/>
    <col min="4102" max="4102" width="0" style="165" hidden="1" customWidth="1"/>
    <col min="4103" max="4353" width="9.140625" style="165"/>
    <col min="4354" max="4354" width="45.28515625" style="165" customWidth="1"/>
    <col min="4355" max="4355" width="12.5703125" style="165" customWidth="1"/>
    <col min="4356" max="4356" width="12.42578125" style="165" customWidth="1"/>
    <col min="4357" max="4357" width="14.42578125" style="165" customWidth="1"/>
    <col min="4358" max="4358" width="0" style="165" hidden="1" customWidth="1"/>
    <col min="4359" max="4609" width="9.140625" style="165"/>
    <col min="4610" max="4610" width="45.28515625" style="165" customWidth="1"/>
    <col min="4611" max="4611" width="12.5703125" style="165" customWidth="1"/>
    <col min="4612" max="4612" width="12.42578125" style="165" customWidth="1"/>
    <col min="4613" max="4613" width="14.42578125" style="165" customWidth="1"/>
    <col min="4614" max="4614" width="0" style="165" hidden="1" customWidth="1"/>
    <col min="4615" max="4865" width="9.140625" style="165"/>
    <col min="4866" max="4866" width="45.28515625" style="165" customWidth="1"/>
    <col min="4867" max="4867" width="12.5703125" style="165" customWidth="1"/>
    <col min="4868" max="4868" width="12.42578125" style="165" customWidth="1"/>
    <col min="4869" max="4869" width="14.42578125" style="165" customWidth="1"/>
    <col min="4870" max="4870" width="0" style="165" hidden="1" customWidth="1"/>
    <col min="4871" max="5121" width="9.140625" style="165"/>
    <col min="5122" max="5122" width="45.28515625" style="165" customWidth="1"/>
    <col min="5123" max="5123" width="12.5703125" style="165" customWidth="1"/>
    <col min="5124" max="5124" width="12.42578125" style="165" customWidth="1"/>
    <col min="5125" max="5125" width="14.42578125" style="165" customWidth="1"/>
    <col min="5126" max="5126" width="0" style="165" hidden="1" customWidth="1"/>
    <col min="5127" max="5377" width="9.140625" style="165"/>
    <col min="5378" max="5378" width="45.28515625" style="165" customWidth="1"/>
    <col min="5379" max="5379" width="12.5703125" style="165" customWidth="1"/>
    <col min="5380" max="5380" width="12.42578125" style="165" customWidth="1"/>
    <col min="5381" max="5381" width="14.42578125" style="165" customWidth="1"/>
    <col min="5382" max="5382" width="0" style="165" hidden="1" customWidth="1"/>
    <col min="5383" max="5633" width="9.140625" style="165"/>
    <col min="5634" max="5634" width="45.28515625" style="165" customWidth="1"/>
    <col min="5635" max="5635" width="12.5703125" style="165" customWidth="1"/>
    <col min="5636" max="5636" width="12.42578125" style="165" customWidth="1"/>
    <col min="5637" max="5637" width="14.42578125" style="165" customWidth="1"/>
    <col min="5638" max="5638" width="0" style="165" hidden="1" customWidth="1"/>
    <col min="5639" max="5889" width="9.140625" style="165"/>
    <col min="5890" max="5890" width="45.28515625" style="165" customWidth="1"/>
    <col min="5891" max="5891" width="12.5703125" style="165" customWidth="1"/>
    <col min="5892" max="5892" width="12.42578125" style="165" customWidth="1"/>
    <col min="5893" max="5893" width="14.42578125" style="165" customWidth="1"/>
    <col min="5894" max="5894" width="0" style="165" hidden="1" customWidth="1"/>
    <col min="5895" max="6145" width="9.140625" style="165"/>
    <col min="6146" max="6146" width="45.28515625" style="165" customWidth="1"/>
    <col min="6147" max="6147" width="12.5703125" style="165" customWidth="1"/>
    <col min="6148" max="6148" width="12.42578125" style="165" customWidth="1"/>
    <col min="6149" max="6149" width="14.42578125" style="165" customWidth="1"/>
    <col min="6150" max="6150" width="0" style="165" hidden="1" customWidth="1"/>
    <col min="6151" max="6401" width="9.140625" style="165"/>
    <col min="6402" max="6402" width="45.28515625" style="165" customWidth="1"/>
    <col min="6403" max="6403" width="12.5703125" style="165" customWidth="1"/>
    <col min="6404" max="6404" width="12.42578125" style="165" customWidth="1"/>
    <col min="6405" max="6405" width="14.42578125" style="165" customWidth="1"/>
    <col min="6406" max="6406" width="0" style="165" hidden="1" customWidth="1"/>
    <col min="6407" max="6657" width="9.140625" style="165"/>
    <col min="6658" max="6658" width="45.28515625" style="165" customWidth="1"/>
    <col min="6659" max="6659" width="12.5703125" style="165" customWidth="1"/>
    <col min="6660" max="6660" width="12.42578125" style="165" customWidth="1"/>
    <col min="6661" max="6661" width="14.42578125" style="165" customWidth="1"/>
    <col min="6662" max="6662" width="0" style="165" hidden="1" customWidth="1"/>
    <col min="6663" max="6913" width="9.140625" style="165"/>
    <col min="6914" max="6914" width="45.28515625" style="165" customWidth="1"/>
    <col min="6915" max="6915" width="12.5703125" style="165" customWidth="1"/>
    <col min="6916" max="6916" width="12.42578125" style="165" customWidth="1"/>
    <col min="6917" max="6917" width="14.42578125" style="165" customWidth="1"/>
    <col min="6918" max="6918" width="0" style="165" hidden="1" customWidth="1"/>
    <col min="6919" max="7169" width="9.140625" style="165"/>
    <col min="7170" max="7170" width="45.28515625" style="165" customWidth="1"/>
    <col min="7171" max="7171" width="12.5703125" style="165" customWidth="1"/>
    <col min="7172" max="7172" width="12.42578125" style="165" customWidth="1"/>
    <col min="7173" max="7173" width="14.42578125" style="165" customWidth="1"/>
    <col min="7174" max="7174" width="0" style="165" hidden="1" customWidth="1"/>
    <col min="7175" max="7425" width="9.140625" style="165"/>
    <col min="7426" max="7426" width="45.28515625" style="165" customWidth="1"/>
    <col min="7427" max="7427" width="12.5703125" style="165" customWidth="1"/>
    <col min="7428" max="7428" width="12.42578125" style="165" customWidth="1"/>
    <col min="7429" max="7429" width="14.42578125" style="165" customWidth="1"/>
    <col min="7430" max="7430" width="0" style="165" hidden="1" customWidth="1"/>
    <col min="7431" max="7681" width="9.140625" style="165"/>
    <col min="7682" max="7682" width="45.28515625" style="165" customWidth="1"/>
    <col min="7683" max="7683" width="12.5703125" style="165" customWidth="1"/>
    <col min="7684" max="7684" width="12.42578125" style="165" customWidth="1"/>
    <col min="7685" max="7685" width="14.42578125" style="165" customWidth="1"/>
    <col min="7686" max="7686" width="0" style="165" hidden="1" customWidth="1"/>
    <col min="7687" max="7937" width="9.140625" style="165"/>
    <col min="7938" max="7938" width="45.28515625" style="165" customWidth="1"/>
    <col min="7939" max="7939" width="12.5703125" style="165" customWidth="1"/>
    <col min="7940" max="7940" width="12.42578125" style="165" customWidth="1"/>
    <col min="7941" max="7941" width="14.42578125" style="165" customWidth="1"/>
    <col min="7942" max="7942" width="0" style="165" hidden="1" customWidth="1"/>
    <col min="7943" max="8193" width="9.140625" style="165"/>
    <col min="8194" max="8194" width="45.28515625" style="165" customWidth="1"/>
    <col min="8195" max="8195" width="12.5703125" style="165" customWidth="1"/>
    <col min="8196" max="8196" width="12.42578125" style="165" customWidth="1"/>
    <col min="8197" max="8197" width="14.42578125" style="165" customWidth="1"/>
    <col min="8198" max="8198" width="0" style="165" hidden="1" customWidth="1"/>
    <col min="8199" max="8449" width="9.140625" style="165"/>
    <col min="8450" max="8450" width="45.28515625" style="165" customWidth="1"/>
    <col min="8451" max="8451" width="12.5703125" style="165" customWidth="1"/>
    <col min="8452" max="8452" width="12.42578125" style="165" customWidth="1"/>
    <col min="8453" max="8453" width="14.42578125" style="165" customWidth="1"/>
    <col min="8454" max="8454" width="0" style="165" hidden="1" customWidth="1"/>
    <col min="8455" max="8705" width="9.140625" style="165"/>
    <col min="8706" max="8706" width="45.28515625" style="165" customWidth="1"/>
    <col min="8707" max="8707" width="12.5703125" style="165" customWidth="1"/>
    <col min="8708" max="8708" width="12.42578125" style="165" customWidth="1"/>
    <col min="8709" max="8709" width="14.42578125" style="165" customWidth="1"/>
    <col min="8710" max="8710" width="0" style="165" hidden="1" customWidth="1"/>
    <col min="8711" max="8961" width="9.140625" style="165"/>
    <col min="8962" max="8962" width="45.28515625" style="165" customWidth="1"/>
    <col min="8963" max="8963" width="12.5703125" style="165" customWidth="1"/>
    <col min="8964" max="8964" width="12.42578125" style="165" customWidth="1"/>
    <col min="8965" max="8965" width="14.42578125" style="165" customWidth="1"/>
    <col min="8966" max="8966" width="0" style="165" hidden="1" customWidth="1"/>
    <col min="8967" max="9217" width="9.140625" style="165"/>
    <col min="9218" max="9218" width="45.28515625" style="165" customWidth="1"/>
    <col min="9219" max="9219" width="12.5703125" style="165" customWidth="1"/>
    <col min="9220" max="9220" width="12.42578125" style="165" customWidth="1"/>
    <col min="9221" max="9221" width="14.42578125" style="165" customWidth="1"/>
    <col min="9222" max="9222" width="0" style="165" hidden="1" customWidth="1"/>
    <col min="9223" max="9473" width="9.140625" style="165"/>
    <col min="9474" max="9474" width="45.28515625" style="165" customWidth="1"/>
    <col min="9475" max="9475" width="12.5703125" style="165" customWidth="1"/>
    <col min="9476" max="9476" width="12.42578125" style="165" customWidth="1"/>
    <col min="9477" max="9477" width="14.42578125" style="165" customWidth="1"/>
    <col min="9478" max="9478" width="0" style="165" hidden="1" customWidth="1"/>
    <col min="9479" max="9729" width="9.140625" style="165"/>
    <col min="9730" max="9730" width="45.28515625" style="165" customWidth="1"/>
    <col min="9731" max="9731" width="12.5703125" style="165" customWidth="1"/>
    <col min="9732" max="9732" width="12.42578125" style="165" customWidth="1"/>
    <col min="9733" max="9733" width="14.42578125" style="165" customWidth="1"/>
    <col min="9734" max="9734" width="0" style="165" hidden="1" customWidth="1"/>
    <col min="9735" max="9985" width="9.140625" style="165"/>
    <col min="9986" max="9986" width="45.28515625" style="165" customWidth="1"/>
    <col min="9987" max="9987" width="12.5703125" style="165" customWidth="1"/>
    <col min="9988" max="9988" width="12.42578125" style="165" customWidth="1"/>
    <col min="9989" max="9989" width="14.42578125" style="165" customWidth="1"/>
    <col min="9990" max="9990" width="0" style="165" hidden="1" customWidth="1"/>
    <col min="9991" max="10241" width="9.140625" style="165"/>
    <col min="10242" max="10242" width="45.28515625" style="165" customWidth="1"/>
    <col min="10243" max="10243" width="12.5703125" style="165" customWidth="1"/>
    <col min="10244" max="10244" width="12.42578125" style="165" customWidth="1"/>
    <col min="10245" max="10245" width="14.42578125" style="165" customWidth="1"/>
    <col min="10246" max="10246" width="0" style="165" hidden="1" customWidth="1"/>
    <col min="10247" max="10497" width="9.140625" style="165"/>
    <col min="10498" max="10498" width="45.28515625" style="165" customWidth="1"/>
    <col min="10499" max="10499" width="12.5703125" style="165" customWidth="1"/>
    <col min="10500" max="10500" width="12.42578125" style="165" customWidth="1"/>
    <col min="10501" max="10501" width="14.42578125" style="165" customWidth="1"/>
    <col min="10502" max="10502" width="0" style="165" hidden="1" customWidth="1"/>
    <col min="10503" max="10753" width="9.140625" style="165"/>
    <col min="10754" max="10754" width="45.28515625" style="165" customWidth="1"/>
    <col min="10755" max="10755" width="12.5703125" style="165" customWidth="1"/>
    <col min="10756" max="10756" width="12.42578125" style="165" customWidth="1"/>
    <col min="10757" max="10757" width="14.42578125" style="165" customWidth="1"/>
    <col min="10758" max="10758" width="0" style="165" hidden="1" customWidth="1"/>
    <col min="10759" max="11009" width="9.140625" style="165"/>
    <col min="11010" max="11010" width="45.28515625" style="165" customWidth="1"/>
    <col min="11011" max="11011" width="12.5703125" style="165" customWidth="1"/>
    <col min="11012" max="11012" width="12.42578125" style="165" customWidth="1"/>
    <col min="11013" max="11013" width="14.42578125" style="165" customWidth="1"/>
    <col min="11014" max="11014" width="0" style="165" hidden="1" customWidth="1"/>
    <col min="11015" max="11265" width="9.140625" style="165"/>
    <col min="11266" max="11266" width="45.28515625" style="165" customWidth="1"/>
    <col min="11267" max="11267" width="12.5703125" style="165" customWidth="1"/>
    <col min="11268" max="11268" width="12.42578125" style="165" customWidth="1"/>
    <col min="11269" max="11269" width="14.42578125" style="165" customWidth="1"/>
    <col min="11270" max="11270" width="0" style="165" hidden="1" customWidth="1"/>
    <col min="11271" max="11521" width="9.140625" style="165"/>
    <col min="11522" max="11522" width="45.28515625" style="165" customWidth="1"/>
    <col min="11523" max="11523" width="12.5703125" style="165" customWidth="1"/>
    <col min="11524" max="11524" width="12.42578125" style="165" customWidth="1"/>
    <col min="11525" max="11525" width="14.42578125" style="165" customWidth="1"/>
    <col min="11526" max="11526" width="0" style="165" hidden="1" customWidth="1"/>
    <col min="11527" max="11777" width="9.140625" style="165"/>
    <col min="11778" max="11778" width="45.28515625" style="165" customWidth="1"/>
    <col min="11779" max="11779" width="12.5703125" style="165" customWidth="1"/>
    <col min="11780" max="11780" width="12.42578125" style="165" customWidth="1"/>
    <col min="11781" max="11781" width="14.42578125" style="165" customWidth="1"/>
    <col min="11782" max="11782" width="0" style="165" hidden="1" customWidth="1"/>
    <col min="11783" max="12033" width="9.140625" style="165"/>
    <col min="12034" max="12034" width="45.28515625" style="165" customWidth="1"/>
    <col min="12035" max="12035" width="12.5703125" style="165" customWidth="1"/>
    <col min="12036" max="12036" width="12.42578125" style="165" customWidth="1"/>
    <col min="12037" max="12037" width="14.42578125" style="165" customWidth="1"/>
    <col min="12038" max="12038" width="0" style="165" hidden="1" customWidth="1"/>
    <col min="12039" max="12289" width="9.140625" style="165"/>
    <col min="12290" max="12290" width="45.28515625" style="165" customWidth="1"/>
    <col min="12291" max="12291" width="12.5703125" style="165" customWidth="1"/>
    <col min="12292" max="12292" width="12.42578125" style="165" customWidth="1"/>
    <col min="12293" max="12293" width="14.42578125" style="165" customWidth="1"/>
    <col min="12294" max="12294" width="0" style="165" hidden="1" customWidth="1"/>
    <col min="12295" max="12545" width="9.140625" style="165"/>
    <col min="12546" max="12546" width="45.28515625" style="165" customWidth="1"/>
    <col min="12547" max="12547" width="12.5703125" style="165" customWidth="1"/>
    <col min="12548" max="12548" width="12.42578125" style="165" customWidth="1"/>
    <col min="12549" max="12549" width="14.42578125" style="165" customWidth="1"/>
    <col min="12550" max="12550" width="0" style="165" hidden="1" customWidth="1"/>
    <col min="12551" max="12801" width="9.140625" style="165"/>
    <col min="12802" max="12802" width="45.28515625" style="165" customWidth="1"/>
    <col min="12803" max="12803" width="12.5703125" style="165" customWidth="1"/>
    <col min="12804" max="12804" width="12.42578125" style="165" customWidth="1"/>
    <col min="12805" max="12805" width="14.42578125" style="165" customWidth="1"/>
    <col min="12806" max="12806" width="0" style="165" hidden="1" customWidth="1"/>
    <col min="12807" max="13057" width="9.140625" style="165"/>
    <col min="13058" max="13058" width="45.28515625" style="165" customWidth="1"/>
    <col min="13059" max="13059" width="12.5703125" style="165" customWidth="1"/>
    <col min="13060" max="13060" width="12.42578125" style="165" customWidth="1"/>
    <col min="13061" max="13061" width="14.42578125" style="165" customWidth="1"/>
    <col min="13062" max="13062" width="0" style="165" hidden="1" customWidth="1"/>
    <col min="13063" max="13313" width="9.140625" style="165"/>
    <col min="13314" max="13314" width="45.28515625" style="165" customWidth="1"/>
    <col min="13315" max="13315" width="12.5703125" style="165" customWidth="1"/>
    <col min="13316" max="13316" width="12.42578125" style="165" customWidth="1"/>
    <col min="13317" max="13317" width="14.42578125" style="165" customWidth="1"/>
    <col min="13318" max="13318" width="0" style="165" hidden="1" customWidth="1"/>
    <col min="13319" max="13569" width="9.140625" style="165"/>
    <col min="13570" max="13570" width="45.28515625" style="165" customWidth="1"/>
    <col min="13571" max="13571" width="12.5703125" style="165" customWidth="1"/>
    <col min="13572" max="13572" width="12.42578125" style="165" customWidth="1"/>
    <col min="13573" max="13573" width="14.42578125" style="165" customWidth="1"/>
    <col min="13574" max="13574" width="0" style="165" hidden="1" customWidth="1"/>
    <col min="13575" max="13825" width="9.140625" style="165"/>
    <col min="13826" max="13826" width="45.28515625" style="165" customWidth="1"/>
    <col min="13827" max="13827" width="12.5703125" style="165" customWidth="1"/>
    <col min="13828" max="13828" width="12.42578125" style="165" customWidth="1"/>
    <col min="13829" max="13829" width="14.42578125" style="165" customWidth="1"/>
    <col min="13830" max="13830" width="0" style="165" hidden="1" customWidth="1"/>
    <col min="13831" max="14081" width="9.140625" style="165"/>
    <col min="14082" max="14082" width="45.28515625" style="165" customWidth="1"/>
    <col min="14083" max="14083" width="12.5703125" style="165" customWidth="1"/>
    <col min="14084" max="14084" width="12.42578125" style="165" customWidth="1"/>
    <col min="14085" max="14085" width="14.42578125" style="165" customWidth="1"/>
    <col min="14086" max="14086" width="0" style="165" hidden="1" customWidth="1"/>
    <col min="14087" max="14337" width="9.140625" style="165"/>
    <col min="14338" max="14338" width="45.28515625" style="165" customWidth="1"/>
    <col min="14339" max="14339" width="12.5703125" style="165" customWidth="1"/>
    <col min="14340" max="14340" width="12.42578125" style="165" customWidth="1"/>
    <col min="14341" max="14341" width="14.42578125" style="165" customWidth="1"/>
    <col min="14342" max="14342" width="0" style="165" hidden="1" customWidth="1"/>
    <col min="14343" max="14593" width="9.140625" style="165"/>
    <col min="14594" max="14594" width="45.28515625" style="165" customWidth="1"/>
    <col min="14595" max="14595" width="12.5703125" style="165" customWidth="1"/>
    <col min="14596" max="14596" width="12.42578125" style="165" customWidth="1"/>
    <col min="14597" max="14597" width="14.42578125" style="165" customWidth="1"/>
    <col min="14598" max="14598" width="0" style="165" hidden="1" customWidth="1"/>
    <col min="14599" max="14849" width="9.140625" style="165"/>
    <col min="14850" max="14850" width="45.28515625" style="165" customWidth="1"/>
    <col min="14851" max="14851" width="12.5703125" style="165" customWidth="1"/>
    <col min="14852" max="14852" width="12.42578125" style="165" customWidth="1"/>
    <col min="14853" max="14853" width="14.42578125" style="165" customWidth="1"/>
    <col min="14854" max="14854" width="0" style="165" hidden="1" customWidth="1"/>
    <col min="14855" max="15105" width="9.140625" style="165"/>
    <col min="15106" max="15106" width="45.28515625" style="165" customWidth="1"/>
    <col min="15107" max="15107" width="12.5703125" style="165" customWidth="1"/>
    <col min="15108" max="15108" width="12.42578125" style="165" customWidth="1"/>
    <col min="15109" max="15109" width="14.42578125" style="165" customWidth="1"/>
    <col min="15110" max="15110" width="0" style="165" hidden="1" customWidth="1"/>
    <col min="15111" max="15361" width="9.140625" style="165"/>
    <col min="15362" max="15362" width="45.28515625" style="165" customWidth="1"/>
    <col min="15363" max="15363" width="12.5703125" style="165" customWidth="1"/>
    <col min="15364" max="15364" width="12.42578125" style="165" customWidth="1"/>
    <col min="15365" max="15365" width="14.42578125" style="165" customWidth="1"/>
    <col min="15366" max="15366" width="0" style="165" hidden="1" customWidth="1"/>
    <col min="15367" max="15617" width="9.140625" style="165"/>
    <col min="15618" max="15618" width="45.28515625" style="165" customWidth="1"/>
    <col min="15619" max="15619" width="12.5703125" style="165" customWidth="1"/>
    <col min="15620" max="15620" width="12.42578125" style="165" customWidth="1"/>
    <col min="15621" max="15621" width="14.42578125" style="165" customWidth="1"/>
    <col min="15622" max="15622" width="0" style="165" hidden="1" customWidth="1"/>
    <col min="15623" max="15873" width="9.140625" style="165"/>
    <col min="15874" max="15874" width="45.28515625" style="165" customWidth="1"/>
    <col min="15875" max="15875" width="12.5703125" style="165" customWidth="1"/>
    <col min="15876" max="15876" width="12.42578125" style="165" customWidth="1"/>
    <col min="15877" max="15877" width="14.42578125" style="165" customWidth="1"/>
    <col min="15878" max="15878" width="0" style="165" hidden="1" customWidth="1"/>
    <col min="15879" max="16129" width="9.140625" style="165"/>
    <col min="16130" max="16130" width="45.28515625" style="165" customWidth="1"/>
    <col min="16131" max="16131" width="12.5703125" style="165" customWidth="1"/>
    <col min="16132" max="16132" width="12.42578125" style="165" customWidth="1"/>
    <col min="16133" max="16133" width="14.42578125" style="165" customWidth="1"/>
    <col min="16134" max="16134" width="0" style="165" hidden="1" customWidth="1"/>
    <col min="16135" max="16384" width="9.140625" style="165"/>
  </cols>
  <sheetData>
    <row r="1" spans="1:8" ht="9.75" customHeight="1">
      <c r="A1" s="2"/>
      <c r="B1" s="100"/>
      <c r="C1" s="711" t="s">
        <v>586</v>
      </c>
      <c r="D1" s="711"/>
      <c r="E1" s="711"/>
      <c r="F1" s="2"/>
    </row>
    <row r="2" spans="1:8">
      <c r="A2" s="2"/>
      <c r="B2" s="100"/>
      <c r="C2" s="711"/>
      <c r="D2" s="711"/>
      <c r="E2" s="711"/>
      <c r="F2" s="2"/>
    </row>
    <row r="3" spans="1:8">
      <c r="A3" s="2"/>
      <c r="B3" s="100"/>
      <c r="C3" s="711"/>
      <c r="D3" s="711"/>
      <c r="E3" s="711"/>
      <c r="F3" s="2"/>
    </row>
    <row r="4" spans="1:8" ht="39" customHeight="1">
      <c r="A4" s="2"/>
      <c r="B4" s="100"/>
      <c r="C4" s="711"/>
      <c r="D4" s="711"/>
      <c r="E4" s="711"/>
      <c r="F4" s="2"/>
    </row>
    <row r="5" spans="1:8" ht="38.25" customHeight="1">
      <c r="A5" s="712" t="s">
        <v>573</v>
      </c>
      <c r="B5" s="713"/>
      <c r="C5" s="713"/>
      <c r="D5" s="713"/>
      <c r="E5" s="713"/>
      <c r="F5" s="2"/>
      <c r="H5" s="166"/>
    </row>
    <row r="6" spans="1:8" ht="11.25" customHeight="1">
      <c r="A6" s="2"/>
      <c r="B6" s="714" t="s">
        <v>409</v>
      </c>
      <c r="C6" s="714"/>
      <c r="D6" s="714"/>
      <c r="E6" s="714"/>
      <c r="F6" s="2"/>
    </row>
    <row r="7" spans="1:8" ht="12.75" customHeight="1">
      <c r="A7" s="715" t="s">
        <v>294</v>
      </c>
      <c r="B7" s="621" t="s">
        <v>410</v>
      </c>
      <c r="C7" s="621" t="s">
        <v>569</v>
      </c>
      <c r="D7" s="621" t="s">
        <v>411</v>
      </c>
      <c r="E7" s="621" t="s">
        <v>412</v>
      </c>
      <c r="F7" s="2"/>
    </row>
    <row r="8" spans="1:8">
      <c r="A8" s="716"/>
      <c r="B8" s="621"/>
      <c r="C8" s="621"/>
      <c r="D8" s="621"/>
      <c r="E8" s="621"/>
      <c r="F8" s="2"/>
    </row>
    <row r="9" spans="1:8" ht="80.25" customHeight="1">
      <c r="A9" s="717"/>
      <c r="B9" s="621"/>
      <c r="C9" s="621"/>
      <c r="D9" s="621"/>
      <c r="E9" s="621"/>
      <c r="F9" s="2"/>
    </row>
    <row r="10" spans="1:8" ht="25.5">
      <c r="A10" s="167" t="s">
        <v>413</v>
      </c>
      <c r="B10" s="168" t="s">
        <v>414</v>
      </c>
      <c r="C10" s="169">
        <v>11</v>
      </c>
      <c r="D10" s="170">
        <v>7362.37</v>
      </c>
      <c r="E10" s="170">
        <v>7255.9206199999999</v>
      </c>
      <c r="F10" s="2"/>
    </row>
    <row r="11" spans="1:8" ht="13.5" customHeight="1">
      <c r="A11" s="27"/>
      <c r="B11" s="171"/>
      <c r="C11" s="172"/>
      <c r="D11" s="173"/>
      <c r="E11" s="173"/>
      <c r="F11" s="2"/>
    </row>
    <row r="12" spans="1:8" ht="49.5" customHeight="1">
      <c r="A12" s="708" t="s">
        <v>415</v>
      </c>
      <c r="B12" s="709"/>
      <c r="C12" s="709"/>
      <c r="D12" s="709"/>
      <c r="E12" s="709"/>
      <c r="F12" s="710"/>
    </row>
    <row r="13" spans="1:8" ht="76.5">
      <c r="A13" s="174" t="s">
        <v>416</v>
      </c>
      <c r="B13" s="175" t="s">
        <v>410</v>
      </c>
      <c r="C13" s="176" t="s">
        <v>570</v>
      </c>
      <c r="D13" s="176" t="s">
        <v>417</v>
      </c>
      <c r="E13" s="176" t="s">
        <v>571</v>
      </c>
      <c r="F13" s="176" t="s">
        <v>572</v>
      </c>
    </row>
    <row r="14" spans="1:8" ht="42.75" customHeight="1">
      <c r="A14" s="167" t="s">
        <v>418</v>
      </c>
      <c r="B14" s="168" t="s">
        <v>419</v>
      </c>
      <c r="C14" s="177">
        <f>SUM(C15:C16)</f>
        <v>28</v>
      </c>
      <c r="D14" s="177">
        <f>SUM(D15:D16)</f>
        <v>6105.9</v>
      </c>
      <c r="E14" s="177">
        <f>SUM(E15:E16)</f>
        <v>6105.9</v>
      </c>
      <c r="F14" s="177">
        <f>SUM(F15:F16)</f>
        <v>6105.9</v>
      </c>
    </row>
    <row r="15" spans="1:8" ht="18.75" customHeight="1">
      <c r="A15" s="178" t="s">
        <v>420</v>
      </c>
      <c r="B15" s="518" t="s">
        <v>421</v>
      </c>
      <c r="C15" s="180">
        <v>20</v>
      </c>
      <c r="D15" s="170">
        <v>5315.9</v>
      </c>
      <c r="E15" s="170">
        <v>5315.9</v>
      </c>
      <c r="F15" s="170">
        <v>5315.9</v>
      </c>
    </row>
    <row r="16" spans="1:8" ht="51">
      <c r="A16" s="178" t="s">
        <v>422</v>
      </c>
      <c r="B16" s="179" t="s">
        <v>423</v>
      </c>
      <c r="C16" s="180">
        <v>8</v>
      </c>
      <c r="D16" s="170">
        <v>790</v>
      </c>
      <c r="E16" s="170">
        <v>790</v>
      </c>
      <c r="F16" s="170">
        <v>790</v>
      </c>
    </row>
  </sheetData>
  <mergeCells count="9">
    <mergeCell ref="A12:F12"/>
    <mergeCell ref="C1:E4"/>
    <mergeCell ref="A5:E5"/>
    <mergeCell ref="B6:E6"/>
    <mergeCell ref="A7:A9"/>
    <mergeCell ref="B7:B9"/>
    <mergeCell ref="C7:C9"/>
    <mergeCell ref="D7:D9"/>
    <mergeCell ref="E7:E9"/>
  </mergeCells>
  <pageMargins left="0.31496062992125984" right="0.31496062992125984" top="0.94488188976377963" bottom="0.35433070866141736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6"/>
  <sheetViews>
    <sheetView tabSelected="1" view="pageBreakPreview" zoomScale="60" zoomScaleNormal="100" workbookViewId="0"/>
  </sheetViews>
  <sheetFormatPr defaultRowHeight="15"/>
  <cols>
    <col min="1" max="1" width="20.85546875" customWidth="1"/>
    <col min="2" max="2" width="28.28515625" customWidth="1"/>
    <col min="3" max="3" width="15.42578125" customWidth="1"/>
  </cols>
  <sheetData>
    <row r="1" spans="1:7" ht="63.75" customHeight="1">
      <c r="B1" s="719" t="s">
        <v>587</v>
      </c>
      <c r="C1" s="719"/>
      <c r="E1" s="190"/>
    </row>
    <row r="3" spans="1:7" ht="15.75">
      <c r="B3" s="182" t="s">
        <v>424</v>
      </c>
    </row>
    <row r="5" spans="1:7" ht="15.75" customHeight="1">
      <c r="A5" s="718" t="s">
        <v>425</v>
      </c>
      <c r="B5" s="718"/>
      <c r="C5" s="718"/>
      <c r="D5" s="191"/>
      <c r="E5" s="191"/>
      <c r="F5" s="191"/>
      <c r="G5" s="191"/>
    </row>
    <row r="6" spans="1:7" ht="15.75" customHeight="1">
      <c r="A6" s="718"/>
      <c r="B6" s="718"/>
      <c r="C6" s="718"/>
      <c r="D6" s="191"/>
      <c r="E6" s="191"/>
      <c r="F6" s="191"/>
      <c r="G6" s="191"/>
    </row>
    <row r="7" spans="1:7" ht="19.5" customHeight="1">
      <c r="A7" s="718"/>
      <c r="B7" s="718"/>
      <c r="C7" s="718"/>
      <c r="D7" s="191"/>
      <c r="E7" s="191"/>
      <c r="F7" s="191"/>
      <c r="G7" s="191"/>
    </row>
    <row r="8" spans="1:7" ht="15.75">
      <c r="B8" s="183" t="s">
        <v>575</v>
      </c>
    </row>
    <row r="10" spans="1:7" ht="47.25">
      <c r="A10" s="187" t="s">
        <v>427</v>
      </c>
      <c r="B10" s="187" t="s">
        <v>426</v>
      </c>
      <c r="C10" s="187" t="s">
        <v>428</v>
      </c>
    </row>
    <row r="11" spans="1:7" ht="15.75">
      <c r="A11" s="185"/>
      <c r="B11" s="185"/>
      <c r="C11" s="184"/>
    </row>
    <row r="12" spans="1:7" ht="15.75">
      <c r="A12" s="185"/>
      <c r="B12" s="186" t="s">
        <v>224</v>
      </c>
      <c r="C12" s="185"/>
    </row>
    <row r="13" spans="1:7" ht="15.75">
      <c r="A13" s="185"/>
      <c r="B13" s="184" t="s">
        <v>574</v>
      </c>
      <c r="C13" s="189">
        <v>0</v>
      </c>
    </row>
    <row r="15" spans="1:7" ht="30" customHeight="1">
      <c r="A15" s="720" t="s">
        <v>576</v>
      </c>
      <c r="B15" s="720"/>
      <c r="C15" s="720"/>
      <c r="D15" s="192"/>
      <c r="E15" s="192"/>
      <c r="F15" s="192"/>
      <c r="G15" s="192"/>
    </row>
    <row r="16" spans="1:7">
      <c r="A16" s="192"/>
      <c r="B16" s="192"/>
      <c r="C16" s="192"/>
      <c r="D16" s="192"/>
      <c r="E16" s="192"/>
      <c r="F16" s="192"/>
      <c r="G16" s="192"/>
    </row>
  </sheetData>
  <mergeCells count="3">
    <mergeCell ref="A5:C7"/>
    <mergeCell ref="B1:C1"/>
    <mergeCell ref="A15:C15"/>
  </mergeCells>
  <pageMargins left="0.9055118110236221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5</vt:i4>
      </vt:variant>
    </vt:vector>
  </HeadingPairs>
  <TitlesOfParts>
    <vt:vector size="15" baseType="lpstr">
      <vt:lpstr>прил.1ИСТОЧ.ФИН.ДЕФИЦ.БТ</vt:lpstr>
      <vt:lpstr>прил.2 ДОХОДЫ</vt:lpstr>
      <vt:lpstr>прил.3.МБТ</vt:lpstr>
      <vt:lpstr>прил.4.РАСХ.ИСПОЛН.</vt:lpstr>
      <vt:lpstr>прил.5 ВЕДОМ.СТР.РАСХ.</vt:lpstr>
      <vt:lpstr>прил.6. МЦП</vt:lpstr>
      <vt:lpstr>6.1 распред.бюдж ассиг-ний</vt:lpstr>
      <vt:lpstr>прил.7 числ.факт расх.</vt:lpstr>
      <vt:lpstr>прил.8 ОТЧЕТ ПО ИСП.РЕЗЕРВ.ФОНД</vt:lpstr>
      <vt:lpstr>Лист1</vt:lpstr>
      <vt:lpstr>'6.1 распред.бюдж ассиг-ний'!Область_печати</vt:lpstr>
      <vt:lpstr>'прил.2 ДОХОДЫ'!Область_печати</vt:lpstr>
      <vt:lpstr>прил.4.РАСХ.ИСПОЛН.!Область_печати</vt:lpstr>
      <vt:lpstr>'прил.5 ВЕДОМ.СТР.РАСХ.'!Область_печати</vt:lpstr>
      <vt:lpstr>'прил.6. МЦП'!Область_печати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2016-04-26T15:27:25Z</dcterms:modified>
</cp:coreProperties>
</file>