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4"/>
  </bookViews>
  <sheets>
    <sheet name="прил.1ИСТОЧ.ФИН.ДЕФИЦ.БТ" sheetId="5" r:id="rId1"/>
    <sheet name="прил.2 ДОХОДЫ" sheetId="2" r:id="rId2"/>
    <sheet name="прил.4.РАСХ.ИСПОЛН." sheetId="6" r:id="rId3"/>
    <sheet name="прил.6. МЦП" sheetId="7" r:id="rId4"/>
    <sheet name="прил.7 числ.факт расх." sheetId="3" r:id="rId5"/>
    <sheet name="прил.8 ОТЧЕТ ПО ИСП.РЕЗЕРВ.ФОНД" sheetId="8" r:id="rId6"/>
    <sheet name="Лист1" sheetId="11" r:id="rId7"/>
  </sheets>
  <definedNames>
    <definedName name="_xlnm.Print_Area" localSheetId="1">'прил.2 ДОХОДЫ'!$A$1:$G$60</definedName>
    <definedName name="_xlnm.Print_Area" localSheetId="2">прил.4.РАСХ.ИСПОЛН.!$A$1:$I$43</definedName>
    <definedName name="_xlnm.Print_Area" localSheetId="3">'прил.6. МЦП'!$A$1:$R$61</definedName>
  </definedNames>
  <calcPr calcId="125725"/>
</workbook>
</file>

<file path=xl/calcChain.xml><?xml version="1.0" encoding="utf-8"?>
<calcChain xmlns="http://schemas.openxmlformats.org/spreadsheetml/2006/main">
  <c r="D60" i="2"/>
  <c r="E60"/>
  <c r="F60"/>
  <c r="D41"/>
  <c r="E41"/>
  <c r="D42"/>
  <c r="E42"/>
  <c r="F42"/>
  <c r="S35" i="7" l="1"/>
  <c r="V8"/>
  <c r="J51" l="1"/>
  <c r="R34"/>
  <c r="F15" i="2" l="1"/>
  <c r="F14"/>
  <c r="F13"/>
  <c r="F11"/>
  <c r="F9"/>
  <c r="D49" l="1"/>
  <c r="I49" s="1"/>
  <c r="J26" i="7"/>
  <c r="R32"/>
  <c r="J23"/>
  <c r="D11" i="6"/>
  <c r="G42"/>
  <c r="D42"/>
  <c r="G37"/>
  <c r="D37"/>
  <c r="G35"/>
  <c r="D35"/>
  <c r="G32"/>
  <c r="G31"/>
  <c r="D32"/>
  <c r="D31"/>
  <c r="G30"/>
  <c r="D30"/>
  <c r="G28"/>
  <c r="D28"/>
  <c r="G26"/>
  <c r="D26"/>
  <c r="G17"/>
  <c r="D17"/>
  <c r="G15"/>
  <c r="D15"/>
  <c r="G11"/>
  <c r="G17" i="2"/>
  <c r="G20"/>
  <c r="G22"/>
  <c r="G23"/>
  <c r="G24"/>
  <c r="G27"/>
  <c r="G28"/>
  <c r="G29"/>
  <c r="G31"/>
  <c r="G32"/>
  <c r="G33"/>
  <c r="G35"/>
  <c r="G38"/>
  <c r="G40"/>
  <c r="G44"/>
  <c r="G45"/>
  <c r="G47"/>
  <c r="G52"/>
  <c r="G54"/>
  <c r="D43"/>
  <c r="E34"/>
  <c r="F34"/>
  <c r="E30"/>
  <c r="F30"/>
  <c r="D30"/>
  <c r="E26"/>
  <c r="F26"/>
  <c r="F25" s="1"/>
  <c r="D26"/>
  <c r="E19"/>
  <c r="F8"/>
  <c r="F10"/>
  <c r="D11"/>
  <c r="G11" s="1"/>
  <c r="F55"/>
  <c r="D55"/>
  <c r="I55" s="1"/>
  <c r="E51"/>
  <c r="E50" s="1"/>
  <c r="F51"/>
  <c r="F50" s="1"/>
  <c r="D51"/>
  <c r="I51" s="1"/>
  <c r="F49"/>
  <c r="G49" s="1"/>
  <c r="D48"/>
  <c r="G48" s="1"/>
  <c r="F39"/>
  <c r="G39" s="1"/>
  <c r="F21"/>
  <c r="F19" s="1"/>
  <c r="D21"/>
  <c r="D19" s="1"/>
  <c r="D15"/>
  <c r="G15" s="1"/>
  <c r="D14"/>
  <c r="D12" s="1"/>
  <c r="G13"/>
  <c r="E9"/>
  <c r="E8" s="1"/>
  <c r="E11"/>
  <c r="E10" s="1"/>
  <c r="E13"/>
  <c r="E14"/>
  <c r="E15"/>
  <c r="E16"/>
  <c r="E25"/>
  <c r="E37"/>
  <c r="E36" s="1"/>
  <c r="E44"/>
  <c r="E45"/>
  <c r="E49"/>
  <c r="E46" s="1"/>
  <c r="E55"/>
  <c r="E53" s="1"/>
  <c r="E56"/>
  <c r="E58"/>
  <c r="F58"/>
  <c r="F56"/>
  <c r="F43"/>
  <c r="F16"/>
  <c r="G43" l="1"/>
  <c r="E12"/>
  <c r="F37"/>
  <c r="F36" s="1"/>
  <c r="G14"/>
  <c r="G55"/>
  <c r="G19"/>
  <c r="F53"/>
  <c r="F12"/>
  <c r="G12" s="1"/>
  <c r="F46"/>
  <c r="G51"/>
  <c r="G21"/>
  <c r="D46"/>
  <c r="G30"/>
  <c r="G26"/>
  <c r="E18"/>
  <c r="F18"/>
  <c r="E43"/>
  <c r="E7"/>
  <c r="F7" l="1"/>
  <c r="G46"/>
  <c r="F41"/>
  <c r="E6"/>
  <c r="F6"/>
  <c r="K58" i="7" l="1"/>
  <c r="L58"/>
  <c r="M58"/>
  <c r="N58"/>
  <c r="O58"/>
  <c r="P58"/>
  <c r="Q58"/>
  <c r="J58"/>
  <c r="J54"/>
  <c r="Q49"/>
  <c r="J49"/>
  <c r="J48"/>
  <c r="J43"/>
  <c r="J42"/>
  <c r="K35"/>
  <c r="L35"/>
  <c r="M35"/>
  <c r="N35"/>
  <c r="O35"/>
  <c r="P35"/>
  <c r="R44"/>
  <c r="Q35"/>
  <c r="J40"/>
  <c r="J29"/>
  <c r="K26"/>
  <c r="K20" s="1"/>
  <c r="L26"/>
  <c r="L20" s="1"/>
  <c r="M26"/>
  <c r="M20" s="1"/>
  <c r="N26"/>
  <c r="N20" s="1"/>
  <c r="O26"/>
  <c r="P26"/>
  <c r="P20" s="1"/>
  <c r="Q26"/>
  <c r="G38" i="6"/>
  <c r="G18"/>
  <c r="G16"/>
  <c r="G9"/>
  <c r="G29"/>
  <c r="G34"/>
  <c r="G36"/>
  <c r="G40"/>
  <c r="I26"/>
  <c r="E26"/>
  <c r="F26"/>
  <c r="I24"/>
  <c r="I25"/>
  <c r="R10" i="7"/>
  <c r="R11"/>
  <c r="R16"/>
  <c r="R17"/>
  <c r="R18"/>
  <c r="R19"/>
  <c r="R23"/>
  <c r="R25"/>
  <c r="R26"/>
  <c r="R27"/>
  <c r="R29"/>
  <c r="R33"/>
  <c r="R36"/>
  <c r="R37"/>
  <c r="R38"/>
  <c r="R39"/>
  <c r="R40"/>
  <c r="R46"/>
  <c r="R47"/>
  <c r="R48"/>
  <c r="R49"/>
  <c r="R50"/>
  <c r="R52"/>
  <c r="R53"/>
  <c r="R54"/>
  <c r="R55"/>
  <c r="R56"/>
  <c r="R57"/>
  <c r="S8"/>
  <c r="I10" i="6"/>
  <c r="I11"/>
  <c r="I14"/>
  <c r="I15"/>
  <c r="I17"/>
  <c r="I19"/>
  <c r="I20"/>
  <c r="I21"/>
  <c r="I23"/>
  <c r="I27"/>
  <c r="I28"/>
  <c r="I30"/>
  <c r="I31"/>
  <c r="I32"/>
  <c r="I35"/>
  <c r="I37"/>
  <c r="I39"/>
  <c r="I41"/>
  <c r="I42"/>
  <c r="H9"/>
  <c r="H16"/>
  <c r="H18"/>
  <c r="H22"/>
  <c r="H29"/>
  <c r="H34"/>
  <c r="H36"/>
  <c r="H38"/>
  <c r="H40"/>
  <c r="D9" i="2"/>
  <c r="D59"/>
  <c r="D58" s="1"/>
  <c r="D57"/>
  <c r="D56" s="1"/>
  <c r="D53"/>
  <c r="G53" s="1"/>
  <c r="D50"/>
  <c r="G50" s="1"/>
  <c r="D37"/>
  <c r="D16"/>
  <c r="D10"/>
  <c r="G10" s="1"/>
  <c r="S59" i="7" l="1"/>
  <c r="Q20"/>
  <c r="D8" i="2"/>
  <c r="G9"/>
  <c r="D36"/>
  <c r="G36" s="1"/>
  <c r="G37"/>
  <c r="G22" i="6"/>
  <c r="R28" i="7"/>
  <c r="D34" i="2"/>
  <c r="G34" s="1"/>
  <c r="H43" i="6"/>
  <c r="D7" i="2"/>
  <c r="G7" s="1"/>
  <c r="G8" l="1"/>
  <c r="G42"/>
  <c r="S45" i="7"/>
  <c r="S20"/>
  <c r="S15"/>
  <c r="Q45"/>
  <c r="Q15"/>
  <c r="Q8"/>
  <c r="C14" i="3"/>
  <c r="M59" i="7"/>
  <c r="E42" i="6"/>
  <c r="E41"/>
  <c r="E40" s="1"/>
  <c r="F40"/>
  <c r="D40"/>
  <c r="E39"/>
  <c r="E38" s="1"/>
  <c r="F38"/>
  <c r="D38"/>
  <c r="I38" s="1"/>
  <c r="F36"/>
  <c r="D36"/>
  <c r="E35"/>
  <c r="E34" s="1"/>
  <c r="F34"/>
  <c r="D34"/>
  <c r="I34" s="1"/>
  <c r="E33"/>
  <c r="E32"/>
  <c r="E31"/>
  <c r="E30"/>
  <c r="E29" s="1"/>
  <c r="F29"/>
  <c r="D29"/>
  <c r="I29" s="1"/>
  <c r="E28"/>
  <c r="E27"/>
  <c r="E25"/>
  <c r="E24"/>
  <c r="E23"/>
  <c r="E22" s="1"/>
  <c r="F22"/>
  <c r="D22"/>
  <c r="E21"/>
  <c r="E20"/>
  <c r="E19"/>
  <c r="E18" s="1"/>
  <c r="F18"/>
  <c r="D18"/>
  <c r="I18" s="1"/>
  <c r="E17"/>
  <c r="E16" s="1"/>
  <c r="F16"/>
  <c r="D16"/>
  <c r="E15"/>
  <c r="E14"/>
  <c r="E13"/>
  <c r="E12"/>
  <c r="H44"/>
  <c r="E10"/>
  <c r="E9" s="1"/>
  <c r="F9"/>
  <c r="D9"/>
  <c r="I9" s="1"/>
  <c r="C58" i="2"/>
  <c r="C56"/>
  <c r="C53"/>
  <c r="C50"/>
  <c r="C46"/>
  <c r="C43"/>
  <c r="C37"/>
  <c r="C36" s="1"/>
  <c r="C34"/>
  <c r="C30"/>
  <c r="C26"/>
  <c r="C25" s="1"/>
  <c r="C19"/>
  <c r="C16"/>
  <c r="C12"/>
  <c r="C10"/>
  <c r="C8"/>
  <c r="G41" l="1"/>
  <c r="I41"/>
  <c r="C42"/>
  <c r="C41" s="1"/>
  <c r="C60" s="1"/>
  <c r="C6"/>
  <c r="D43" i="6"/>
  <c r="F43"/>
  <c r="C18" i="2"/>
  <c r="Q59" i="7"/>
  <c r="I40" i="6"/>
  <c r="I36"/>
  <c r="I22"/>
  <c r="I16"/>
  <c r="C7" i="2"/>
  <c r="E37" i="6"/>
  <c r="E36" s="1"/>
  <c r="E43" s="1"/>
  <c r="E11"/>
  <c r="G43"/>
  <c r="F14" i="3"/>
  <c r="E14"/>
  <c r="D14"/>
  <c r="P59" i="7"/>
  <c r="N59"/>
  <c r="L59"/>
  <c r="K59"/>
  <c r="R58"/>
  <c r="R51"/>
  <c r="R43"/>
  <c r="R42"/>
  <c r="J41"/>
  <c r="O31"/>
  <c r="J30"/>
  <c r="R30" s="1"/>
  <c r="O28"/>
  <c r="O20" s="1"/>
  <c r="R24"/>
  <c r="J22"/>
  <c r="J15"/>
  <c r="R15" s="1"/>
  <c r="J9"/>
  <c r="J20" l="1"/>
  <c r="R22"/>
  <c r="R20"/>
  <c r="O59"/>
  <c r="R41"/>
  <c r="J35"/>
  <c r="J8"/>
  <c r="R9"/>
  <c r="R35"/>
  <c r="J45"/>
  <c r="R45" s="1"/>
  <c r="R31"/>
  <c r="R8"/>
  <c r="I43" i="6"/>
  <c r="J59" i="7" l="1"/>
  <c r="R59" s="1"/>
  <c r="D25" i="2" l="1"/>
  <c r="I60" s="1"/>
  <c r="D18" l="1"/>
  <c r="G18" s="1"/>
  <c r="G25"/>
  <c r="D6"/>
  <c r="G6" s="1"/>
  <c r="G60"/>
</calcChain>
</file>

<file path=xl/comments1.xml><?xml version="1.0" encoding="utf-8"?>
<comments xmlns="http://schemas.openxmlformats.org/spreadsheetml/2006/main">
  <authors>
    <author>Автор</author>
  </authors>
  <commentList>
    <comment ref="H37" authorId="0">
      <text>
        <r>
          <rPr>
            <sz val="8"/>
            <color indexed="81"/>
            <rFont val="Tahoma"/>
            <family val="2"/>
            <charset val="204"/>
          </rPr>
          <t>985,6т.р.- Стимулир. субсидии для работников культуры
 15 тр.р - трансп.расходы на день инвалида</t>
        </r>
      </text>
    </comment>
  </commentList>
</comments>
</file>

<file path=xl/sharedStrings.xml><?xml version="1.0" encoding="utf-8"?>
<sst xmlns="http://schemas.openxmlformats.org/spreadsheetml/2006/main" count="487" uniqueCount="420">
  <si>
    <t>Наименование</t>
  </si>
  <si>
    <t>71.1</t>
  </si>
  <si>
    <t>Связь и информатика</t>
  </si>
  <si>
    <t>0410</t>
  </si>
  <si>
    <t>71.1.1516</t>
  </si>
  <si>
    <t>Другие вопросы в области национальной экономики</t>
  </si>
  <si>
    <t>0412</t>
  </si>
  <si>
    <t>71.1.1517</t>
  </si>
  <si>
    <t>Мероприятия по землеустройству и землепользованию</t>
  </si>
  <si>
    <t>71.1.1518</t>
  </si>
  <si>
    <t>Общеэкономические вопросы</t>
  </si>
  <si>
    <t>0401</t>
  </si>
  <si>
    <t>71.1.1551</t>
  </si>
  <si>
    <t>0405</t>
  </si>
  <si>
    <t>71.1.1552</t>
  </si>
  <si>
    <t>71.2</t>
  </si>
  <si>
    <t>0309</t>
  </si>
  <si>
    <t>71.2.1509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</si>
  <si>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</si>
  <si>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71.2.1510</t>
  </si>
  <si>
    <t>Обеспечение пожарной безопасности</t>
  </si>
  <si>
    <t>0310</t>
  </si>
  <si>
    <t>Мероприятия по обеспечению первичных мер пожарной безопасности</t>
  </si>
  <si>
    <t>71.2.1512</t>
  </si>
  <si>
    <t>0314</t>
  </si>
  <si>
    <t>Профилактика терроризма и экстремизма</t>
  </si>
  <si>
    <t>71.2.1569</t>
  </si>
  <si>
    <t>71.3</t>
  </si>
  <si>
    <t>0501</t>
  </si>
  <si>
    <t>Содержание муниципального жилищного фонда, в том числе капитальный ремонт муниципального жилищного фонда</t>
  </si>
  <si>
    <t>71.3.1520</t>
  </si>
  <si>
    <t>71.3.1521</t>
  </si>
  <si>
    <t>0502</t>
  </si>
  <si>
    <t>71.3.1522</t>
  </si>
  <si>
    <t>Благоустройство</t>
  </si>
  <si>
    <t>0503</t>
  </si>
  <si>
    <t>71.3.1538</t>
  </si>
  <si>
    <t>Проведение мероприятий по озеленению территории поселения</t>
  </si>
  <si>
    <t>71.3.1540</t>
  </si>
  <si>
    <t>71.3.1541</t>
  </si>
  <si>
    <t>71.3.1542</t>
  </si>
  <si>
    <t xml:space="preserve">Мероприятия по энергосбережению и повышению энергетической эффективности муниципальных объектов </t>
  </si>
  <si>
    <t>71.3.1553</t>
  </si>
  <si>
    <t>0409</t>
  </si>
  <si>
    <t>71.3.1539</t>
  </si>
  <si>
    <t>Проведение мероприятий по обеспечению безопасности дорожного движения</t>
  </si>
  <si>
    <t>71.3.1554</t>
  </si>
  <si>
    <t>Капитальный ремонт и ремонт автомобильных дорог общего пользования местного значения</t>
  </si>
  <si>
    <t>71.3.1560</t>
  </si>
  <si>
    <t>71.3.7014</t>
  </si>
  <si>
    <t>71.4</t>
  </si>
  <si>
    <t>Проведение культурно-массовых мероприятий к праздничным и памятным датам</t>
  </si>
  <si>
    <t>71.4.1563</t>
  </si>
  <si>
    <t>0801</t>
  </si>
  <si>
    <t>71.5</t>
  </si>
  <si>
    <t>Массовый спорт</t>
  </si>
  <si>
    <t>1102</t>
  </si>
  <si>
    <t>Проведение мероприятий в области спорта и физической культуры</t>
  </si>
  <si>
    <t>71.5.1534</t>
  </si>
  <si>
    <t>71.5.1639</t>
  </si>
  <si>
    <t>Молодежная политика и оздоровление детей</t>
  </si>
  <si>
    <t>0707</t>
  </si>
  <si>
    <t>Проведение мероприятий для детей и молодежи</t>
  </si>
  <si>
    <t>71.5.1523</t>
  </si>
  <si>
    <t>Организация временных оплачиваемых рабочих мест для несовершеннолетних граждан</t>
  </si>
  <si>
    <t>71.5.1566</t>
  </si>
  <si>
    <t>Комплексные меры по профилактике безнадзорности и правонарушений несовершеннолетних</t>
  </si>
  <si>
    <t>71.5.1568</t>
  </si>
  <si>
    <t>0104</t>
  </si>
  <si>
    <t>0103</t>
  </si>
  <si>
    <t>0113</t>
  </si>
  <si>
    <t>Резервные фонды</t>
  </si>
  <si>
    <t>0111</t>
  </si>
  <si>
    <t>Пенсионное обеспечение</t>
  </si>
  <si>
    <t>1001</t>
  </si>
  <si>
    <t>0107</t>
  </si>
  <si>
    <t>0203</t>
  </si>
  <si>
    <t>62.9.7088</t>
  </si>
  <si>
    <t>62.9.9504</t>
  </si>
  <si>
    <t>Противодействие коррупции в администрации сельского поселения</t>
  </si>
  <si>
    <t>62.9.9518</t>
  </si>
  <si>
    <t>62.9.9535</t>
  </si>
  <si>
    <t>Развитие муниципальной службы</t>
  </si>
  <si>
    <t>62.9.9548</t>
  </si>
  <si>
    <t>62.9.9558</t>
  </si>
  <si>
    <t>71.4.1250</t>
  </si>
  <si>
    <t>71.4.1260</t>
  </si>
  <si>
    <t>71.4.1564</t>
  </si>
  <si>
    <t>71.4.7067</t>
  </si>
  <si>
    <t>71.4.7036</t>
  </si>
  <si>
    <t>Физическая культура</t>
  </si>
  <si>
    <t>1101</t>
  </si>
  <si>
    <t>71.5.1280</t>
  </si>
  <si>
    <t>ИТОГО</t>
  </si>
  <si>
    <t>Наименование показателя</t>
  </si>
  <si>
    <t>Код раздела</t>
  </si>
  <si>
    <t>Код подраздела</t>
  </si>
  <si>
    <t>Бюджет на  2015 год Уточнен.  1 попр. (тыс.руб.)</t>
  </si>
  <si>
    <t>Бюджет на  2015 год Уточнен.  2 попр. (тыс.руб.)</t>
  </si>
  <si>
    <t>изм. 16.09.2015</t>
  </si>
  <si>
    <t>Общегосударственные вопросы</t>
  </si>
  <si>
    <t>0100</t>
  </si>
  <si>
    <t>Функционирование закон-х представительных органов МО</t>
  </si>
  <si>
    <t>Функционирование местных администраций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</si>
  <si>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</si>
  <si>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</si>
  <si>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</si>
  <si>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 xml:space="preserve">Другие общегосударственные вопросы 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</si>
  <si>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</si>
  <si>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</si>
  <si>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</si>
  <si>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</si>
  <si>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</si>
  <si>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характераи, гражданская оборона</t>
  </si>
  <si>
    <t>Национальная экономика</t>
  </si>
  <si>
    <t>0400</t>
  </si>
  <si>
    <t xml:space="preserve">Топливно-энергетический комплекс </t>
  </si>
  <si>
    <t>0402</t>
  </si>
  <si>
    <t>Сельское хозяйство и рыболвство</t>
  </si>
  <si>
    <t>Дорожное хозяйство (дорожные фонды)</t>
  </si>
  <si>
    <t>Жилищно-коммунальное хозяйство</t>
  </si>
  <si>
    <t>0500</t>
  </si>
  <si>
    <t xml:space="preserve">Жилищное  хозяйство </t>
  </si>
  <si>
    <t xml:space="preserve">Коммунальное хозяйство </t>
  </si>
  <si>
    <t xml:space="preserve">Другие вопросы в области ЖКХ  </t>
  </si>
  <si>
    <t>0505</t>
  </si>
  <si>
    <t>Образование</t>
  </si>
  <si>
    <t>0700</t>
  </si>
  <si>
    <t>Культура, кинематография</t>
  </si>
  <si>
    <t>0800</t>
  </si>
  <si>
    <t xml:space="preserve">Культура </t>
  </si>
  <si>
    <t>Социальная политика</t>
  </si>
  <si>
    <t>1000</t>
  </si>
  <si>
    <t>Физическая культура и спорт</t>
  </si>
  <si>
    <t>1100</t>
  </si>
  <si>
    <t>ВСЕГО РАСХОДОВ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</si>
  <si>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</si>
  <si>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</si>
  <si>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</si>
  <si>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</si>
  <si>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2 02 02216 10 0000 151</t>
  </si>
  <si>
    <t>2 02 02999 10 0000 151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</si>
  <si>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</si>
  <si>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</si>
  <si>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2 02 03024 10 0000 151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</si>
  <si>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</si>
  <si>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</si>
  <si>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2 02 04999 10 0000 151</t>
  </si>
  <si>
    <t>2 19 05000 10 0000 151</t>
  </si>
  <si>
    <t>итс</t>
  </si>
  <si>
    <t xml:space="preserve">Распределение бюджетных ассигнований на реализацию муниципальных программ в  МО Войсковицкое сельское поселение на 2015 год </t>
  </si>
  <si>
    <t>№ п/п</t>
  </si>
  <si>
    <t>Наименование программы</t>
  </si>
  <si>
    <t>Наименование постановления</t>
  </si>
  <si>
    <t>Дата</t>
  </si>
  <si>
    <t>Номер</t>
  </si>
  <si>
    <t>Перечень мероприятий</t>
  </si>
  <si>
    <t>КФСР</t>
  </si>
  <si>
    <t>КЦСР</t>
  </si>
  <si>
    <t>Утверждено  на 2015 год, (тыс.руб.)</t>
  </si>
  <si>
    <t>изм18_03_15</t>
  </si>
  <si>
    <t>изм 16_06_15</t>
  </si>
  <si>
    <t>1</t>
  </si>
  <si>
    <t>Социально-экономическое развитие муниципального образования Войсковицкое сельское поселение Гатчинского муниципального района Ленинградской области</t>
  </si>
  <si>
    <t>Об утверждении муниципальной программы Социально-экономическое развитие Войсковицкого сельского поселения Гатчинского муниципального района Ленинградской области" на 2015 год</t>
  </si>
  <si>
    <t>23.10.2014</t>
  </si>
  <si>
    <t>195</t>
  </si>
  <si>
    <t>Подпрограмма «Стимулирование экономичесой активности на территории МО Войсковицкое сельское поселение» на 2015 год</t>
  </si>
  <si>
    <t>1.1.</t>
  </si>
  <si>
    <t>Мероприятия в области информационно-коммуникационных технологий и связи</t>
  </si>
  <si>
    <t>36</t>
  </si>
  <si>
    <t>1.2.</t>
  </si>
  <si>
    <t>Мероприятия в области строительства,архитектуры и градостроительства</t>
  </si>
  <si>
    <t>1.3.</t>
  </si>
  <si>
    <t>1.4.</t>
  </si>
  <si>
    <t>Реализация мероприятий, направленных на снижение напряженности на рынке труда</t>
  </si>
  <si>
    <t>71.1.1533</t>
  </si>
  <si>
    <t>1.5.</t>
  </si>
  <si>
    <t>Мероприятия по развитию и поддержке предпринимательства</t>
  </si>
  <si>
    <t>1.6.</t>
  </si>
  <si>
    <t xml:space="preserve">Содействие созданию условий для развития сельского хозяйства </t>
  </si>
  <si>
    <t>Подпрограмма «Обеспечение безопасности на территории МО Войсковицкое сельское поселение» на 2015 год</t>
  </si>
  <si>
    <t>2.1.</t>
  </si>
  <si>
    <t xml:space="preserve">Проведение мероприятий по гражданской обороне </t>
  </si>
  <si>
    <t>50</t>
  </si>
  <si>
    <t>2.2.</t>
  </si>
  <si>
    <t>2.3.</t>
  </si>
  <si>
    <t>2.4.</t>
  </si>
  <si>
    <t xml:space="preserve">Профилактика терроризма и экстремизма </t>
  </si>
  <si>
    <t>10</t>
  </si>
  <si>
    <t>Подпрограмма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на 2015 год</t>
  </si>
  <si>
    <t>3.1.</t>
  </si>
  <si>
    <t>3.2.</t>
  </si>
  <si>
    <t xml:space="preserve">Мероприятия в области жилищного хозяйства  </t>
  </si>
  <si>
    <t>3.3.</t>
  </si>
  <si>
    <t xml:space="preserve">Мероприятия в области коммунального хозяйства </t>
  </si>
  <si>
    <t>3.4.</t>
  </si>
  <si>
    <t xml:space="preserve">Проведение мероприятий по организации уличного освещения </t>
  </si>
  <si>
    <t>3.5.</t>
  </si>
  <si>
    <t>Строительство и  содержание автомобильных дорог и инженерных сооружений на них в границах муниципального образования</t>
  </si>
  <si>
    <t>3.6.</t>
  </si>
  <si>
    <t>3.7.</t>
  </si>
  <si>
    <t xml:space="preserve">Мероприятия по организации и содержанию мест захоронений </t>
  </si>
  <si>
    <t>3.8.</t>
  </si>
  <si>
    <t>Прочие мероприятия по благоустройству территории поселения</t>
  </si>
  <si>
    <t>3.9.</t>
  </si>
  <si>
    <t>500</t>
  </si>
  <si>
    <t>3.10.</t>
  </si>
  <si>
    <t>3.11.</t>
  </si>
  <si>
    <t>Выполнение работ по ремонту асфальтобетонного покрытия ул. Манина в п. Войсковицы 4 этап завершающий (участок от ул. Солнечная до автодороги А120) Обл и ремонт дороги к дв.тер-ям д14-15 (от школы к блок-модульной котельной)</t>
  </si>
  <si>
    <t>Подпрограмма «Развитие культуры, организация праздничных мероприятий на территории Войсковицкого сельского поселения Гатчинского муниципального района»  на 2015 год</t>
  </si>
  <si>
    <t>4.1.1.</t>
  </si>
  <si>
    <r>
      <rPr>
        <b/>
        <sz val="12"/>
        <rFont val="Times New Roman"/>
        <family val="1"/>
        <charset val="204"/>
      </rPr>
      <t xml:space="preserve">Муниципальное задание: </t>
    </r>
    <r>
      <rPr>
        <sz val="12"/>
        <rFont val="Times New Roman"/>
        <family val="1"/>
        <charset val="204"/>
      </rPr>
      <t>Мероприятия по обеспечению деятельности подведомственных учреждений культуры</t>
    </r>
  </si>
  <si>
    <t>4.1.2.</t>
  </si>
  <si>
    <r>
      <rPr>
        <b/>
        <sz val="12"/>
        <rFont val="Times New Roman"/>
        <family val="1"/>
        <charset val="204"/>
      </rPr>
      <t>Иные цели:</t>
    </r>
    <r>
      <rPr>
        <sz val="12"/>
        <rFont val="Times New Roman"/>
        <family val="1"/>
        <charset val="204"/>
      </rPr>
      <t xml:space="preserve"> Мероприятия по обеспечению деятельности подведомственных учреждений культуры</t>
    </r>
  </si>
  <si>
    <t>4.2.1.</t>
  </si>
  <si>
    <r>
      <rPr>
        <b/>
        <sz val="12"/>
        <rFont val="Times New Roman"/>
        <family val="1"/>
        <charset val="204"/>
      </rPr>
      <t xml:space="preserve">Муниципальное задание: </t>
    </r>
    <r>
      <rPr>
        <sz val="12"/>
        <rFont val="Times New Roman"/>
        <family val="1"/>
        <charset val="204"/>
      </rPr>
      <t>Мероприятия по обеспечению деятельности муниципальных библиотек</t>
    </r>
  </si>
  <si>
    <t>4.2.2.</t>
  </si>
  <si>
    <r>
      <rPr>
        <b/>
        <sz val="12"/>
        <rFont val="Times New Roman"/>
        <family val="1"/>
        <charset val="204"/>
      </rPr>
      <t xml:space="preserve">Иные цели:  </t>
    </r>
    <r>
      <rPr>
        <sz val="12"/>
        <rFont val="Times New Roman"/>
        <family val="1"/>
        <charset val="204"/>
      </rPr>
      <t>Мероприятия по обеспечению деятельности муниципальных библиотек</t>
    </r>
  </si>
  <si>
    <t>4.3.</t>
  </si>
  <si>
    <t>4.4.1.</t>
  </si>
  <si>
    <t>Мероприятия по капитальному ремонту объектов культуры МБУК</t>
  </si>
  <si>
    <t>4.4.2.</t>
  </si>
  <si>
    <t>Мероприятия по капитальному ремонту объектов культуры Библ.</t>
  </si>
  <si>
    <t>4.5.1.</t>
  </si>
  <si>
    <t>Субсидии на обеспечение выплат стимулирующего характера МБУК (обл.бюдж)</t>
  </si>
  <si>
    <t>4.5.2.</t>
  </si>
  <si>
    <t>Субсидии на обеспечение выплат стимулирующего характера Библ. (обл.бюдж)</t>
  </si>
  <si>
    <t>Подпрограмма  «Развитие физической культуры, спорта и молодежной политики на территории Войсковицкого сельского поселения Гатчинского муниципального района»  на 2015 год</t>
  </si>
  <si>
    <t>5.1.</t>
  </si>
  <si>
    <r>
      <rPr>
        <b/>
        <sz val="12"/>
        <rFont val="Times New Roman"/>
        <family val="1"/>
        <charset val="204"/>
      </rPr>
      <t xml:space="preserve">Муниципальное задание: </t>
    </r>
    <r>
      <rPr>
        <sz val="12"/>
        <rFont val="Times New Roman"/>
        <family val="1"/>
        <charset val="204"/>
      </rPr>
      <t>Мероприятия по обеспечению деятельности подведомственных учреждений физкультуры и спорта</t>
    </r>
  </si>
  <si>
    <r>
      <rPr>
        <b/>
        <sz val="12"/>
        <rFont val="Times New Roman"/>
        <family val="1"/>
        <charset val="204"/>
      </rPr>
      <t xml:space="preserve">Иные цели: </t>
    </r>
    <r>
      <rPr>
        <sz val="12"/>
        <rFont val="Times New Roman"/>
        <family val="1"/>
        <charset val="204"/>
      </rPr>
      <t>Мероприятия по обеспечению деятельности подведомственных учреждений физкультуры и спорта</t>
    </r>
  </si>
  <si>
    <t>5.2.</t>
  </si>
  <si>
    <t>5.3.</t>
  </si>
  <si>
    <t>5.4.</t>
  </si>
  <si>
    <t>5.5.</t>
  </si>
  <si>
    <t>1,701</t>
  </si>
  <si>
    <t>-1,93373</t>
  </si>
  <si>
    <t>5.6.</t>
  </si>
  <si>
    <t>Строительство и реконструкция спортивных сооружений</t>
  </si>
  <si>
    <t>2</t>
  </si>
  <si>
    <t xml:space="preserve">ВЦП "Развитие и поддержка малого предпринимательства 
на территории  Войсковицкого сельского поселения 
на 2015 -2016 годы"
</t>
  </si>
  <si>
    <t>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</t>
  </si>
  <si>
    <t>25.03.2015</t>
  </si>
  <si>
    <t>51</t>
  </si>
  <si>
    <t>3</t>
  </si>
  <si>
    <t xml:space="preserve"> Программа противодействия коррупции  в МО Войсковицкое сельское поселение Гатчинского муниципального района Ленинградской области на 2014-2015 годы
</t>
  </si>
  <si>
    <t>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2014-2015 годы</t>
  </si>
  <si>
    <t>04.09.2013</t>
  </si>
  <si>
    <t>178</t>
  </si>
  <si>
    <t>4</t>
  </si>
  <si>
    <t xml:space="preserve">ВЦП "Содействие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на 2015-2016 годы"
</t>
  </si>
  <si>
    <t xml:space="preserve">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
</t>
  </si>
  <si>
    <t>52</t>
  </si>
  <si>
    <t>5</t>
  </si>
  <si>
    <t>Программа развития муниципальной службы в муниципальном образовании Войсковицкое сельское поселение на 2014-2015 годы</t>
  </si>
  <si>
    <t>Об утверждении муниципальной Программы развития муниципальной службы в МО Войсковицкое сельское поселение на 2014-2015 годы</t>
  </si>
  <si>
    <t>177</t>
  </si>
  <si>
    <t>Развитие части территории Войсковицкого сельского поселения Гатчинского муниципального района на 2015 год</t>
  </si>
  <si>
    <t>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</t>
  </si>
  <si>
    <t>16.03.2015</t>
  </si>
  <si>
    <t>44</t>
  </si>
  <si>
    <t>Выполнение работ по ремонту асфальтобетонного покрытия автомобильной дороги Центральная в д. Тяглино 2 этап (участок автодороги от дома №20 до дома №30) Обл</t>
  </si>
  <si>
    <t>6</t>
  </si>
  <si>
    <t>Выполнение работ по ремонту асфальтобетонного покрытия автомобильной дороги Центральная в д. Тяглино 2 этап (участок автодороги от дома №20 до дома №30) МБ</t>
  </si>
  <si>
    <t>Итого расходов по утвержденным муниципальным программам на 2015 год :</t>
  </si>
  <si>
    <t xml:space="preserve">                                                                                    </t>
  </si>
  <si>
    <t>Показатели</t>
  </si>
  <si>
    <t>Бюджетные ассигнования  на 2015 год</t>
  </si>
  <si>
    <t>Кассовый расход на оплату труда с начислениями на выплаты по оплате труда с начала  года (тыс.руб.)</t>
  </si>
  <si>
    <t>1.</t>
  </si>
  <si>
    <t>Органы местного самоуправления муниципального образования  Войсковицкое сельское поселение</t>
  </si>
  <si>
    <t xml:space="preserve">Перечислено субсидиий из бюджета Войсковицкого сельского поселения муниципальному бюджетному учреждению культуры "Войсковицкий центр культуры и спорта" на содержание работников, оказывающих муниципальные услуги (работы), являющиеся  в качестве основных видов деятельности, населению согласно Муниципальному заданию  с начала текущего года </t>
  </si>
  <si>
    <t xml:space="preserve"> № п/п</t>
  </si>
  <si>
    <t>Бюджетные обязательства на 2015 год</t>
  </si>
  <si>
    <t>2.</t>
  </si>
  <si>
    <t>Работники муниципальных бюджетных  учреждений муниципального образования Войсковицкое сельское поселение, в том числе:</t>
  </si>
  <si>
    <t>2.1</t>
  </si>
  <si>
    <t>Работники учреждений культуры</t>
  </si>
  <si>
    <t>2.2</t>
  </si>
  <si>
    <t>Содержание тренеров, техперсонала  спортивных клубов при МБУК "Войсковицкий центр культуры и спорта" (по договорам гражданско-правового характера)</t>
  </si>
  <si>
    <t>О   Т   Ч   Е   Т</t>
  </si>
  <si>
    <t>об использовании средств по подразделу  0111 «Резервные фонды» администрации Войсковицкого сельского поселения Гатчинского муниципального района</t>
  </si>
  <si>
    <t>Наименование расходов</t>
  </si>
  <si>
    <t xml:space="preserve">Наименование нормативного документа </t>
  </si>
  <si>
    <t>Сумма (РУБ)</t>
  </si>
  <si>
    <t>код</t>
  </si>
  <si>
    <t>наименование</t>
  </si>
  <si>
    <t>Утверждено на 2015 год, (тыс.руб.)</t>
  </si>
  <si>
    <t>000 01 05 00 00 10 0000 000</t>
  </si>
  <si>
    <t>Изменение остатков средств бюджета на счетах по учету  средств бюджета</t>
  </si>
  <si>
    <t>Всего источников финансирования дефицита бюджета</t>
  </si>
  <si>
    <t>Приложение   1</t>
  </si>
  <si>
    <t>Приложение № 2</t>
  </si>
  <si>
    <t>Первоначальний план на 2015год, (тыс.руб.)</t>
  </si>
  <si>
    <t>Исполнение            за 9 мес,       (тыс.руб)</t>
  </si>
  <si>
    <t>НАЛОГОВЫЕ И НЕНАЛОГОВЫЕ ДОХОДЫ</t>
  </si>
  <si>
    <t>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</si>
  <si>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</si>
  <si>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</si>
  <si>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</si>
  <si>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</si>
  <si>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1 03 02000 00 0000 000</t>
  </si>
  <si>
    <t>НАЛОГИ НА ТОВАРЫ(РАБОТЫ,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</si>
  <si>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</si>
  <si>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</si>
  <si>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</si>
  <si>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</si>
  <si>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</si>
  <si>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</si>
  <si>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</si>
  <si>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 xml:space="preserve">Транспортный налог 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</si>
  <si>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</si>
  <si>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</si>
  <si>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</si>
  <si>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</si>
  <si>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</si>
  <si>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</si>
  <si>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</si>
  <si>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</si>
  <si>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</si>
  <si>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</si>
  <si>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Доходы,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</si>
  <si>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</si>
  <si>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</si>
  <si>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</si>
  <si>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</si>
  <si>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</si>
  <si>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</si>
  <si>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1 11 09045 10 0111 120</t>
  </si>
  <si>
    <t>Прочие поступления от использования имущества (найм муниципального жилья)</t>
  </si>
  <si>
    <t>1 13 00000 00 0000 000</t>
  </si>
  <si>
    <t>ДОХОДЫ ОТ ОКАЗАНИЯ ПЛАТНЫХ УСЛУГ И КОМПЕНСАЦИИ ЗАТРАТ ГОСУДАРСТВА</t>
  </si>
  <si>
    <t>1 13 02000 10 0000 130</t>
  </si>
  <si>
    <t>Прочие доходы от компенсации затрат  бюджетов поселений</t>
  </si>
  <si>
    <t>1 13 02995 10 0000 130</t>
  </si>
  <si>
    <t xml:space="preserve">Прочие доходы от компенсации затрат  бюджетов поселений 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</si>
  <si>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</si>
  <si>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</si>
  <si>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</si>
  <si>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МБУК) </t>
  </si>
  <si>
    <t>1 14 00000 00 0000 000</t>
  </si>
  <si>
    <t>ДОХОДЫ  ОТ ПРОДАЖИ МАТЕРИАЛЬНЫХ И НЕМАТЕРИАЛЬНЫХ АКТИВОВ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</si>
  <si>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</si>
  <si>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</si>
  <si>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</si>
  <si>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</si>
  <si>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1 14 06025 10 0000 430</t>
  </si>
  <si>
    <t>Доходы от продажи земельных участков, находящихся в собственности (за исключением земельных участков муниц. бюджетных и автономных учреждений)</t>
  </si>
  <si>
    <t>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</si>
  <si>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</si>
  <si>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</si>
  <si>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</si>
  <si>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</si>
  <si>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</si>
  <si>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</si>
  <si>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</si>
  <si>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</si>
  <si>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1 17 05050 10 0504 180</t>
  </si>
  <si>
    <t>Прочие неналоговые доходы бюджетов поселений</t>
  </si>
  <si>
    <t>1 17 05050 10 0505 180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</si>
  <si>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</si>
  <si>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</si>
  <si>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</si>
  <si>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</si>
  <si>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</si>
  <si>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2 02 02000 00 0000 151</t>
  </si>
  <si>
    <t>Субсидии  бюджетам субъектов  Российской Федерации и муниципальных образований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</si>
  <si>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</si>
  <si>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 бюджетам поселений (обл)</t>
  </si>
  <si>
    <t>2 02 03000 00 0000 151</t>
  </si>
  <si>
    <t>Субвенции бюджетам субъектов  Российской Федерации и муниципальных образований</t>
  </si>
  <si>
    <t>Субвенции бюджетам поселений на выполнение передаваемых полномочий субъектов Российской Федерации</t>
  </si>
  <si>
    <t>2 02 04000 00 0000 151</t>
  </si>
  <si>
    <t>Иные межбюджетные трансферты</t>
  </si>
  <si>
    <t xml:space="preserve">Прочие межбюджетные трансферты, передаваемые бюджетам поселений </t>
  </si>
  <si>
    <t>2 18 05000 00 0000 000</t>
  </si>
  <si>
    <t>Доходы бюджетов бюджетной системы Российской Федерации от возврата организациями остатков субсидий прошлых лет</t>
  </si>
  <si>
    <t>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</si>
  <si>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</si>
  <si>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2 19 05000 00 0000 000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</si>
  <si>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</si>
  <si>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</si>
  <si>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ВСЕГО ДОХОДОВ</t>
  </si>
  <si>
    <t>Приложение 4</t>
  </si>
  <si>
    <t>Утверждено на 2015 г. (тыс.руб.)</t>
  </si>
  <si>
    <t>проверка</t>
  </si>
  <si>
    <t>Исполнение за 9 мес 2015г (тыс.руб.)</t>
  </si>
  <si>
    <t>% исполнения</t>
  </si>
  <si>
    <t>% исполнеия</t>
  </si>
  <si>
    <t xml:space="preserve">Утверждено на 2015 год (тыс.руб.) </t>
  </si>
  <si>
    <t>Приложение 6</t>
  </si>
  <si>
    <r>
      <t xml:space="preserve">Дотации  бюджетам субъектов  Российской Федерации </t>
    </r>
    <r>
      <rPr>
        <sz val="8"/>
        <rFont val="Times New Roman"/>
        <family val="1"/>
        <charset val="204"/>
      </rPr>
      <t>и муниципальных образований</t>
    </r>
  </si>
  <si>
    <t>Поступление доходов в бюджет муниципального образования Войсковицкое  сельское  поселение  за  2015 год</t>
  </si>
  <si>
    <t>Исполнение               за 2015 год,       (тыс.руб)</t>
  </si>
  <si>
    <t>Исполнение за  2015год (тыс.руб.)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</si>
  <si>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за  2015 год </t>
  </si>
  <si>
    <t>71.3.7013</t>
  </si>
  <si>
    <t>Исполнение  за 2015 год, (тыс.руб.)</t>
  </si>
  <si>
    <t>3.13.</t>
  </si>
  <si>
    <t>Перечисление ежемесячных взносов в фонд кап.ремонта имущества в многокв.доме на счет регион.оператора</t>
  </si>
  <si>
    <t>71.3.1564</t>
  </si>
  <si>
    <t>Исполнено за  2015 год (тыс.руб)</t>
  </si>
  <si>
    <t>Фактическая численность муниципальных служащих  на 01.01.2016г. (чел.)</t>
  </si>
  <si>
    <t>Фактическая численность на 01.01.2016г. (чел.)</t>
  </si>
  <si>
    <t>Перечислено субсидий на оплату труда         за 2015 год</t>
  </si>
  <si>
    <t>Кассовый расход полученных субсидий на оплату труда  за  2015 год</t>
  </si>
  <si>
    <t>за 2015 года</t>
  </si>
  <si>
    <t>за  2015 год</t>
  </si>
  <si>
    <t xml:space="preserve">*Средства резервного фонда администрации Войсковицкого сельского поселения за  2015 год </t>
  </si>
  <si>
    <t>Выполнение работ по ремонтупроезда к дворовым территориям д.14 и 15, от школы до блок-модульной котельной</t>
  </si>
  <si>
    <t>Уточнённый  план доходов , (тыс.руб.)</t>
  </si>
  <si>
    <t>-4279,64</t>
  </si>
  <si>
    <t>3.14.</t>
  </si>
  <si>
    <t>+ 281,66</t>
  </si>
  <si>
    <t>+281,66</t>
  </si>
  <si>
    <t>к РСД  МО Войсковицкое сельское поселение "об исполнении бюджета МО Войсковицкое сельское поселениеГатчинского муниципального района Ленинградской области за 2015 год"  от  _______ г.№___</t>
  </si>
  <si>
    <r>
      <rPr>
        <b/>
        <sz val="10"/>
        <rFont val="Times New Roman"/>
        <family val="1"/>
        <charset val="204"/>
      </rPr>
      <t xml:space="preserve">Приложение № 7  </t>
    </r>
    <r>
      <rPr>
        <sz val="10"/>
        <rFont val="Times New Roman"/>
        <family val="1"/>
        <charset val="204"/>
      </rPr>
      <t xml:space="preserve">                                                                                  к РСД  МО Войсковицкое сельское поселение "об исполнении бюджета МО Войсковицкое сельское поселениеГатчинского муниципального района Ленинградской области за 2015 год"  от  _______ г.№___</t>
    </r>
  </si>
  <si>
    <r>
      <t xml:space="preserve">Приложение № 8                                                                    </t>
    </r>
    <r>
      <rPr>
        <sz val="10"/>
        <color rgb="FF000000"/>
        <rFont val="Times New Roman"/>
        <family val="1"/>
        <charset val="204"/>
      </rPr>
      <t>к РСД  МО Войсковицкое сельское поселение "об исполнении бюджета МО Войсковицкое сельское поселениеГатчинского муниципального района Ленинградской области за 2015 год"  от  _______ г.№___</t>
    </r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</si>
  <si>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 2015 год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</si>
</sst>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.00000"/>
    <numFmt numFmtId="165" formatCode="_-* #,##0.00_р_._-;\-* #,##0.00_р_._-;_-* \-??_р_._-;_-@_-"/>
    <numFmt numFmtId="166" formatCode="0.0"/>
    <numFmt numFmtId="168" formatCode="_-* #,##0.00000_р_._-;\-* #,##0.00000_р_._-;_-* &quot;-&quot;???_р_._-;_-@_-"/>
    <numFmt numFmtId="170" formatCode="_-* #,##0.00000_р_._-;\-* #,##0.00000_р_._-;_-* \-??_р_._-;_-@_-"/>
    <numFmt numFmtId="171" formatCode="0.0000"/>
    <numFmt numFmtId="172" formatCode="0.000000"/>
    <numFmt numFmtId="177" formatCode="_-* #,##0.00000_р_._-;\-* #,##0.00000_р_._-;_-* &quot;-&quot;?????_р_._-;_-@_-"/>
  </numFmts>
  <fonts count="27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0" tint="-0.1499984740745262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3" fontId="12" fillId="0" borderId="0" applyFont="0" applyFill="0" applyBorder="0" applyAlignment="0" applyProtection="0"/>
    <xf numFmtId="0" fontId="18" fillId="0" borderId="0"/>
  </cellStyleXfs>
  <cellXfs count="223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/>
    <xf numFmtId="0" fontId="3" fillId="0" borderId="0" xfId="0" applyFont="1"/>
    <xf numFmtId="0" fontId="5" fillId="2" borderId="0" xfId="0" applyFont="1" applyFill="1" applyAlignment="1"/>
    <xf numFmtId="0" fontId="3" fillId="2" borderId="0" xfId="0" applyFont="1" applyFill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2" fontId="2" fillId="3" borderId="3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2" fontId="0" fillId="0" borderId="0" xfId="0" applyNumberFormat="1"/>
    <xf numFmtId="49" fontId="13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Alignment="1" applyProtection="1">
      <alignment vertical="center" wrapText="1"/>
      <protection locked="0"/>
    </xf>
    <xf numFmtId="49" fontId="3" fillId="2" borderId="0" xfId="0" applyNumberFormat="1" applyFont="1" applyFill="1" applyAlignment="1">
      <alignment vertical="center" wrapText="1"/>
    </xf>
    <xf numFmtId="49" fontId="13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vertical="center" wrapText="1"/>
    </xf>
    <xf numFmtId="49" fontId="5" fillId="2" borderId="3" xfId="3" applyNumberFormat="1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0" xfId="0" applyNumberFormat="1" applyFont="1" applyFill="1" applyAlignment="1" applyProtection="1">
      <alignment horizontal="center" vertical="center" wrapText="1"/>
      <protection locked="0"/>
    </xf>
    <xf numFmtId="0" fontId="13" fillId="2" borderId="3" xfId="3" applyFont="1" applyFill="1" applyBorder="1" applyAlignment="1">
      <alignment horizontal="center" vertical="center"/>
    </xf>
    <xf numFmtId="0" fontId="13" fillId="2" borderId="3" xfId="3" applyFont="1" applyFill="1" applyBorder="1" applyAlignment="1">
      <alignment vertical="center" wrapText="1"/>
    </xf>
    <xf numFmtId="49" fontId="13" fillId="2" borderId="3" xfId="3" applyNumberFormat="1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2" fontId="3" fillId="0" borderId="0" xfId="0" applyNumberFormat="1" applyFont="1" applyFill="1" applyAlignment="1" applyProtection="1">
      <alignment horizontal="center" vertical="center" wrapText="1"/>
      <protection locked="0"/>
    </xf>
    <xf numFmtId="49" fontId="3" fillId="2" borderId="3" xfId="3" applyNumberFormat="1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vertical="center" wrapText="1"/>
    </xf>
    <xf numFmtId="49" fontId="13" fillId="0" borderId="3" xfId="3" applyNumberFormat="1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2" fontId="3" fillId="2" borderId="3" xfId="3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>
      <alignment horizontal="left" vertical="center" wrapText="1"/>
    </xf>
    <xf numFmtId="2" fontId="5" fillId="2" borderId="3" xfId="2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166" fontId="3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/>
    <xf numFmtId="0" fontId="0" fillId="2" borderId="0" xfId="0" applyFill="1" applyAlignment="1">
      <alignment horizontal="right"/>
    </xf>
    <xf numFmtId="0" fontId="3" fillId="2" borderId="3" xfId="0" applyFont="1" applyFill="1" applyBorder="1"/>
    <xf numFmtId="0" fontId="6" fillId="2" borderId="3" xfId="0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horizontal="center" vertical="center" wrapText="1"/>
    </xf>
    <xf numFmtId="43" fontId="3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wrapText="1"/>
    </xf>
    <xf numFmtId="43" fontId="3" fillId="2" borderId="0" xfId="0" applyNumberFormat="1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43" fontId="6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/>
    <xf numFmtId="0" fontId="3" fillId="2" borderId="7" xfId="0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21" fillId="0" borderId="0" xfId="0" applyFont="1"/>
    <xf numFmtId="0" fontId="21" fillId="0" borderId="3" xfId="0" applyFont="1" applyBorder="1"/>
    <xf numFmtId="0" fontId="0" fillId="0" borderId="3" xfId="0" applyBorder="1"/>
    <xf numFmtId="0" fontId="10" fillId="0" borderId="3" xfId="0" applyFont="1" applyBorder="1" applyAlignment="1">
      <alignment horizontal="justify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7" fillId="0" borderId="0" xfId="0" applyFont="1" applyAlignment="1"/>
    <xf numFmtId="0" fontId="0" fillId="0" borderId="3" xfId="0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22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/>
    </xf>
    <xf numFmtId="49" fontId="4" fillId="0" borderId="3" xfId="0" applyNumberFormat="1" applyFont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2" fillId="0" borderId="3" xfId="0" applyFont="1" applyBorder="1" applyAlignment="1">
      <alignment vertical="top"/>
    </xf>
    <xf numFmtId="165" fontId="5" fillId="3" borderId="3" xfId="0" applyNumberFormat="1" applyFont="1" applyFill="1" applyBorder="1" applyAlignment="1">
      <alignment vertical="top"/>
    </xf>
    <xf numFmtId="168" fontId="0" fillId="0" borderId="0" xfId="0" applyNumberFormat="1"/>
    <xf numFmtId="43" fontId="0" fillId="0" borderId="0" xfId="0" applyNumberFormat="1"/>
    <xf numFmtId="49" fontId="2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/>
    <xf numFmtId="0" fontId="3" fillId="0" borderId="0" xfId="0" applyFont="1" applyAlignment="1">
      <alignment vertical="distributed" wrapText="1"/>
    </xf>
    <xf numFmtId="2" fontId="3" fillId="2" borderId="0" xfId="0" applyNumberFormat="1" applyFont="1" applyFill="1" applyAlignment="1" applyProtection="1">
      <alignment vertical="center" wrapText="1"/>
      <protection locked="0"/>
    </xf>
    <xf numFmtId="49" fontId="6" fillId="2" borderId="3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10" fontId="23" fillId="0" borderId="3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0" fontId="23" fillId="3" borderId="3" xfId="0" applyNumberFormat="1" applyFont="1" applyFill="1" applyBorder="1" applyAlignment="1">
      <alignment horizontal="center" vertical="center"/>
    </xf>
    <xf numFmtId="10" fontId="2" fillId="3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0" fontId="3" fillId="2" borderId="0" xfId="0" applyNumberFormat="1" applyFont="1" applyFill="1" applyAlignment="1" applyProtection="1">
      <alignment horizontal="center" vertical="center" wrapText="1"/>
      <protection locked="0"/>
    </xf>
    <xf numFmtId="1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0" fontId="5" fillId="2" borderId="3" xfId="3" applyNumberFormat="1" applyFont="1" applyFill="1" applyBorder="1" applyAlignment="1">
      <alignment horizontal="center" vertical="center" wrapText="1"/>
    </xf>
    <xf numFmtId="10" fontId="13" fillId="2" borderId="3" xfId="3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10" fontId="2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distributed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71" fontId="2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wrapText="1"/>
    </xf>
    <xf numFmtId="172" fontId="0" fillId="0" borderId="0" xfId="0" applyNumberFormat="1"/>
    <xf numFmtId="164" fontId="0" fillId="0" borderId="0" xfId="0" applyNumberFormat="1" applyAlignment="1">
      <alignment horizontal="center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2" fontId="5" fillId="2" borderId="3" xfId="3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3" xfId="3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" xfId="3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3" xfId="3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66" fontId="4" fillId="2" borderId="0" xfId="0" applyNumberFormat="1" applyFont="1" applyFill="1" applyAlignment="1"/>
    <xf numFmtId="0" fontId="11" fillId="0" borderId="3" xfId="0" applyFont="1" applyBorder="1" applyAlignment="1">
      <alignment vertical="top" wrapText="1"/>
    </xf>
    <xf numFmtId="165" fontId="25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165" fontId="11" fillId="0" borderId="3" xfId="0" applyNumberFormat="1" applyFont="1" applyBorder="1" applyAlignment="1">
      <alignment vertical="top"/>
    </xf>
    <xf numFmtId="0" fontId="26" fillId="0" borderId="3" xfId="0" applyFont="1" applyBorder="1" applyAlignment="1">
      <alignment vertical="top" wrapText="1"/>
    </xf>
    <xf numFmtId="165" fontId="1" fillId="0" borderId="3" xfId="0" applyNumberFormat="1" applyFont="1" applyBorder="1" applyAlignment="1">
      <alignment vertical="top"/>
    </xf>
    <xf numFmtId="165" fontId="1" fillId="2" borderId="3" xfId="0" applyNumberFormat="1" applyFont="1" applyFill="1" applyBorder="1" applyAlignment="1">
      <alignment vertical="top"/>
    </xf>
    <xf numFmtId="0" fontId="1" fillId="0" borderId="3" xfId="0" applyFont="1" applyBorder="1" applyAlignment="1">
      <alignment wrapText="1"/>
    </xf>
    <xf numFmtId="165" fontId="1" fillId="0" borderId="3" xfId="0" applyNumberFormat="1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165" fontId="11" fillId="0" borderId="3" xfId="0" applyNumberFormat="1" applyFont="1" applyBorder="1" applyAlignment="1">
      <alignment vertical="top" wrapText="1"/>
    </xf>
    <xf numFmtId="0" fontId="3" fillId="2" borderId="7" xfId="0" applyFont="1" applyFill="1" applyBorder="1" applyAlignment="1">
      <alignment wrapText="1"/>
    </xf>
    <xf numFmtId="170" fontId="2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distributed" wrapText="1"/>
    </xf>
    <xf numFmtId="170" fontId="23" fillId="0" borderId="3" xfId="0" applyNumberFormat="1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/>
    </xf>
    <xf numFmtId="170" fontId="13" fillId="0" borderId="3" xfId="0" applyNumberFormat="1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170" fontId="13" fillId="0" borderId="3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64" fontId="3" fillId="0" borderId="0" xfId="0" applyNumberFormat="1" applyFont="1"/>
    <xf numFmtId="171" fontId="4" fillId="2" borderId="3" xfId="0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wrapText="1"/>
    </xf>
    <xf numFmtId="172" fontId="4" fillId="2" borderId="3" xfId="0" applyNumberFormat="1" applyFont="1" applyFill="1" applyBorder="1" applyAlignment="1">
      <alignment horizontal="center" vertical="center" wrapText="1"/>
    </xf>
    <xf numFmtId="164" fontId="5" fillId="2" borderId="3" xfId="2" applyNumberFormat="1" applyFont="1" applyFill="1" applyBorder="1" applyAlignment="1" applyProtection="1">
      <alignment horizontal="center" vertical="center" wrapText="1"/>
      <protection locked="0"/>
    </xf>
    <xf numFmtId="170" fontId="0" fillId="0" borderId="0" xfId="0" applyNumberFormat="1"/>
    <xf numFmtId="177" fontId="0" fillId="0" borderId="0" xfId="0" applyNumberFormat="1"/>
    <xf numFmtId="2" fontId="10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distributed" wrapText="1"/>
    </xf>
    <xf numFmtId="0" fontId="21" fillId="0" borderId="0" xfId="0" applyFont="1" applyAlignment="1">
      <alignment horizontal="center"/>
    </xf>
    <xf numFmtId="0" fontId="5" fillId="3" borderId="3" xfId="0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justify"/>
    </xf>
    <xf numFmtId="0" fontId="6" fillId="0" borderId="0" xfId="0" applyFont="1" applyAlignment="1">
      <alignment horizontal="center" vertical="distributed"/>
    </xf>
    <xf numFmtId="2" fontId="3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2" borderId="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166" fontId="4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vertical="center" wrapText="1"/>
    </xf>
    <xf numFmtId="166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6" xfId="0" applyNumberFormat="1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60" zoomScaleNormal="100" workbookViewId="0">
      <selection activeCell="C2" sqref="C2:D2"/>
    </sheetView>
  </sheetViews>
  <sheetFormatPr defaultRowHeight="15"/>
  <cols>
    <col min="1" max="1" width="24.140625" customWidth="1"/>
    <col min="2" max="2" width="31.140625" customWidth="1"/>
    <col min="3" max="4" width="14.28515625" customWidth="1"/>
  </cols>
  <sheetData>
    <row r="1" spans="1:9" ht="15" customHeight="1">
      <c r="C1" s="173" t="s">
        <v>292</v>
      </c>
      <c r="D1" s="173"/>
    </row>
    <row r="2" spans="1:9" ht="81" customHeight="1">
      <c r="C2" s="174" t="s">
        <v>416</v>
      </c>
      <c r="D2" s="174"/>
      <c r="E2" s="103"/>
      <c r="F2" s="103"/>
      <c r="G2" s="103"/>
      <c r="H2" s="103"/>
      <c r="I2" s="103"/>
    </row>
    <row r="3" spans="1:9" ht="15.75">
      <c r="C3" s="175"/>
      <c r="D3" s="175"/>
    </row>
    <row r="6" spans="1:9" ht="63.75" customHeight="1">
      <c r="A6" s="83" t="s">
        <v>286</v>
      </c>
      <c r="B6" s="83" t="s">
        <v>287</v>
      </c>
      <c r="C6" s="75" t="s">
        <v>288</v>
      </c>
      <c r="D6" s="75" t="s">
        <v>402</v>
      </c>
    </row>
    <row r="7" spans="1:9" ht="55.5" customHeight="1">
      <c r="A7" s="80" t="s">
        <v>289</v>
      </c>
      <c r="B7" s="80" t="s">
        <v>290</v>
      </c>
      <c r="C7" s="81" t="s">
        <v>414</v>
      </c>
      <c r="D7" s="172">
        <v>-4279.6400000000003</v>
      </c>
    </row>
    <row r="8" spans="1:9" ht="55.5" customHeight="1">
      <c r="A8" s="80"/>
      <c r="B8" s="82" t="s">
        <v>291</v>
      </c>
      <c r="C8" s="81" t="s">
        <v>415</v>
      </c>
      <c r="D8" s="81" t="s">
        <v>412</v>
      </c>
    </row>
    <row r="9" spans="1:9" ht="15.75" customHeight="1">
      <c r="D9" s="68"/>
    </row>
  </sheetData>
  <mergeCells count="3">
    <mergeCell ref="C1:D1"/>
    <mergeCell ref="C2:D2"/>
    <mergeCell ref="C3:D3"/>
  </mergeCells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view="pageBreakPreview" zoomScale="80" zoomScaleNormal="100" zoomScaleSheetLayoutView="80" workbookViewId="0">
      <selection activeCell="F2" sqref="F2:G2"/>
    </sheetView>
  </sheetViews>
  <sheetFormatPr defaultRowHeight="15" outlineLevelRow="1" outlineLevelCol="1"/>
  <cols>
    <col min="1" max="1" width="23.85546875" customWidth="1"/>
    <col min="2" max="2" width="33.5703125" customWidth="1"/>
    <col min="3" max="3" width="13.5703125" hidden="1" customWidth="1" outlineLevel="1"/>
    <col min="4" max="4" width="18.7109375" style="98" customWidth="1" collapsed="1"/>
    <col min="5" max="5" width="19.28515625" style="98" hidden="1" customWidth="1" outlineLevel="1"/>
    <col min="6" max="6" width="18.85546875" style="98" customWidth="1" collapsed="1"/>
    <col min="7" max="7" width="11.7109375" style="108" customWidth="1" collapsed="1"/>
    <col min="8" max="8" width="13.42578125" hidden="1" customWidth="1" collapsed="1"/>
    <col min="9" max="9" width="14" hidden="1" customWidth="1"/>
    <col min="10" max="10" width="13.5703125" hidden="1" customWidth="1"/>
    <col min="12" max="13" width="13.5703125" bestFit="1" customWidth="1"/>
    <col min="15" max="15" width="14.28515625" customWidth="1"/>
    <col min="16" max="16" width="13.5703125" bestFit="1" customWidth="1"/>
    <col min="254" max="254" width="21.85546875" customWidth="1"/>
    <col min="255" max="255" width="44.42578125" customWidth="1"/>
    <col min="256" max="256" width="13.5703125" customWidth="1"/>
    <col min="257" max="258" width="0" hidden="1" customWidth="1"/>
    <col min="259" max="259" width="14.5703125" customWidth="1"/>
    <col min="260" max="260" width="11.140625" customWidth="1"/>
    <col min="261" max="261" width="12.85546875" customWidth="1"/>
    <col min="262" max="262" width="9.140625" customWidth="1"/>
    <col min="263" max="263" width="12.140625" customWidth="1"/>
    <col min="264" max="264" width="13.42578125" customWidth="1"/>
    <col min="265" max="265" width="14" bestFit="1" customWidth="1"/>
    <col min="510" max="510" width="21.85546875" customWidth="1"/>
    <col min="511" max="511" width="44.42578125" customWidth="1"/>
    <col min="512" max="512" width="13.5703125" customWidth="1"/>
    <col min="513" max="514" width="0" hidden="1" customWidth="1"/>
    <col min="515" max="515" width="14.5703125" customWidth="1"/>
    <col min="516" max="516" width="11.140625" customWidth="1"/>
    <col min="517" max="517" width="12.85546875" customWidth="1"/>
    <col min="518" max="518" width="9.140625" customWidth="1"/>
    <col min="519" max="519" width="12.140625" customWidth="1"/>
    <col min="520" max="520" width="13.42578125" customWidth="1"/>
    <col min="521" max="521" width="14" bestFit="1" customWidth="1"/>
    <col min="766" max="766" width="21.85546875" customWidth="1"/>
    <col min="767" max="767" width="44.42578125" customWidth="1"/>
    <col min="768" max="768" width="13.5703125" customWidth="1"/>
    <col min="769" max="770" width="0" hidden="1" customWidth="1"/>
    <col min="771" max="771" width="14.5703125" customWidth="1"/>
    <col min="772" max="772" width="11.140625" customWidth="1"/>
    <col min="773" max="773" width="12.85546875" customWidth="1"/>
    <col min="774" max="774" width="9.140625" customWidth="1"/>
    <col min="775" max="775" width="12.140625" customWidth="1"/>
    <col min="776" max="776" width="13.42578125" customWidth="1"/>
    <col min="777" max="777" width="14" bestFit="1" customWidth="1"/>
    <col min="1022" max="1022" width="21.85546875" customWidth="1"/>
    <col min="1023" max="1023" width="44.42578125" customWidth="1"/>
    <col min="1024" max="1024" width="13.5703125" customWidth="1"/>
    <col min="1025" max="1026" width="0" hidden="1" customWidth="1"/>
    <col min="1027" max="1027" width="14.5703125" customWidth="1"/>
    <col min="1028" max="1028" width="11.140625" customWidth="1"/>
    <col min="1029" max="1029" width="12.85546875" customWidth="1"/>
    <col min="1030" max="1030" width="9.140625" customWidth="1"/>
    <col min="1031" max="1031" width="12.140625" customWidth="1"/>
    <col min="1032" max="1032" width="13.42578125" customWidth="1"/>
    <col min="1033" max="1033" width="14" bestFit="1" customWidth="1"/>
    <col min="1278" max="1278" width="21.85546875" customWidth="1"/>
    <col min="1279" max="1279" width="44.42578125" customWidth="1"/>
    <col min="1280" max="1280" width="13.5703125" customWidth="1"/>
    <col min="1281" max="1282" width="0" hidden="1" customWidth="1"/>
    <col min="1283" max="1283" width="14.5703125" customWidth="1"/>
    <col min="1284" max="1284" width="11.140625" customWidth="1"/>
    <col min="1285" max="1285" width="12.85546875" customWidth="1"/>
    <col min="1286" max="1286" width="9.140625" customWidth="1"/>
    <col min="1287" max="1287" width="12.140625" customWidth="1"/>
    <col min="1288" max="1288" width="13.42578125" customWidth="1"/>
    <col min="1289" max="1289" width="14" bestFit="1" customWidth="1"/>
    <col min="1534" max="1534" width="21.85546875" customWidth="1"/>
    <col min="1535" max="1535" width="44.42578125" customWidth="1"/>
    <col min="1536" max="1536" width="13.5703125" customWidth="1"/>
    <col min="1537" max="1538" width="0" hidden="1" customWidth="1"/>
    <col min="1539" max="1539" width="14.5703125" customWidth="1"/>
    <col min="1540" max="1540" width="11.140625" customWidth="1"/>
    <col min="1541" max="1541" width="12.85546875" customWidth="1"/>
    <col min="1542" max="1542" width="9.140625" customWidth="1"/>
    <col min="1543" max="1543" width="12.140625" customWidth="1"/>
    <col min="1544" max="1544" width="13.42578125" customWidth="1"/>
    <col min="1545" max="1545" width="14" bestFit="1" customWidth="1"/>
    <col min="1790" max="1790" width="21.85546875" customWidth="1"/>
    <col min="1791" max="1791" width="44.42578125" customWidth="1"/>
    <col min="1792" max="1792" width="13.5703125" customWidth="1"/>
    <col min="1793" max="1794" width="0" hidden="1" customWidth="1"/>
    <col min="1795" max="1795" width="14.5703125" customWidth="1"/>
    <col min="1796" max="1796" width="11.140625" customWidth="1"/>
    <col min="1797" max="1797" width="12.85546875" customWidth="1"/>
    <col min="1798" max="1798" width="9.140625" customWidth="1"/>
    <col min="1799" max="1799" width="12.140625" customWidth="1"/>
    <col min="1800" max="1800" width="13.42578125" customWidth="1"/>
    <col min="1801" max="1801" width="14" bestFit="1" customWidth="1"/>
    <col min="2046" max="2046" width="21.85546875" customWidth="1"/>
    <col min="2047" max="2047" width="44.42578125" customWidth="1"/>
    <col min="2048" max="2048" width="13.5703125" customWidth="1"/>
    <col min="2049" max="2050" width="0" hidden="1" customWidth="1"/>
    <col min="2051" max="2051" width="14.5703125" customWidth="1"/>
    <col min="2052" max="2052" width="11.140625" customWidth="1"/>
    <col min="2053" max="2053" width="12.85546875" customWidth="1"/>
    <col min="2054" max="2054" width="9.140625" customWidth="1"/>
    <col min="2055" max="2055" width="12.140625" customWidth="1"/>
    <col min="2056" max="2056" width="13.42578125" customWidth="1"/>
    <col min="2057" max="2057" width="14" bestFit="1" customWidth="1"/>
    <col min="2302" max="2302" width="21.85546875" customWidth="1"/>
    <col min="2303" max="2303" width="44.42578125" customWidth="1"/>
    <col min="2304" max="2304" width="13.5703125" customWidth="1"/>
    <col min="2305" max="2306" width="0" hidden="1" customWidth="1"/>
    <col min="2307" max="2307" width="14.5703125" customWidth="1"/>
    <col min="2308" max="2308" width="11.140625" customWidth="1"/>
    <col min="2309" max="2309" width="12.85546875" customWidth="1"/>
    <col min="2310" max="2310" width="9.140625" customWidth="1"/>
    <col min="2311" max="2311" width="12.140625" customWidth="1"/>
    <col min="2312" max="2312" width="13.42578125" customWidth="1"/>
    <col min="2313" max="2313" width="14" bestFit="1" customWidth="1"/>
    <col min="2558" max="2558" width="21.85546875" customWidth="1"/>
    <col min="2559" max="2559" width="44.42578125" customWidth="1"/>
    <col min="2560" max="2560" width="13.5703125" customWidth="1"/>
    <col min="2561" max="2562" width="0" hidden="1" customWidth="1"/>
    <col min="2563" max="2563" width="14.5703125" customWidth="1"/>
    <col min="2564" max="2564" width="11.140625" customWidth="1"/>
    <col min="2565" max="2565" width="12.85546875" customWidth="1"/>
    <col min="2566" max="2566" width="9.140625" customWidth="1"/>
    <col min="2567" max="2567" width="12.140625" customWidth="1"/>
    <col min="2568" max="2568" width="13.42578125" customWidth="1"/>
    <col min="2569" max="2569" width="14" bestFit="1" customWidth="1"/>
    <col min="2814" max="2814" width="21.85546875" customWidth="1"/>
    <col min="2815" max="2815" width="44.42578125" customWidth="1"/>
    <col min="2816" max="2816" width="13.5703125" customWidth="1"/>
    <col min="2817" max="2818" width="0" hidden="1" customWidth="1"/>
    <col min="2819" max="2819" width="14.5703125" customWidth="1"/>
    <col min="2820" max="2820" width="11.140625" customWidth="1"/>
    <col min="2821" max="2821" width="12.85546875" customWidth="1"/>
    <col min="2822" max="2822" width="9.140625" customWidth="1"/>
    <col min="2823" max="2823" width="12.140625" customWidth="1"/>
    <col min="2824" max="2824" width="13.42578125" customWidth="1"/>
    <col min="2825" max="2825" width="14" bestFit="1" customWidth="1"/>
    <col min="3070" max="3070" width="21.85546875" customWidth="1"/>
    <col min="3071" max="3071" width="44.42578125" customWidth="1"/>
    <col min="3072" max="3072" width="13.5703125" customWidth="1"/>
    <col min="3073" max="3074" width="0" hidden="1" customWidth="1"/>
    <col min="3075" max="3075" width="14.5703125" customWidth="1"/>
    <col min="3076" max="3076" width="11.140625" customWidth="1"/>
    <col min="3077" max="3077" width="12.85546875" customWidth="1"/>
    <col min="3078" max="3078" width="9.140625" customWidth="1"/>
    <col min="3079" max="3079" width="12.140625" customWidth="1"/>
    <col min="3080" max="3080" width="13.42578125" customWidth="1"/>
    <col min="3081" max="3081" width="14" bestFit="1" customWidth="1"/>
    <col min="3326" max="3326" width="21.85546875" customWidth="1"/>
    <col min="3327" max="3327" width="44.42578125" customWidth="1"/>
    <col min="3328" max="3328" width="13.5703125" customWidth="1"/>
    <col min="3329" max="3330" width="0" hidden="1" customWidth="1"/>
    <col min="3331" max="3331" width="14.5703125" customWidth="1"/>
    <col min="3332" max="3332" width="11.140625" customWidth="1"/>
    <col min="3333" max="3333" width="12.85546875" customWidth="1"/>
    <col min="3334" max="3334" width="9.140625" customWidth="1"/>
    <col min="3335" max="3335" width="12.140625" customWidth="1"/>
    <col min="3336" max="3336" width="13.42578125" customWidth="1"/>
    <col min="3337" max="3337" width="14" bestFit="1" customWidth="1"/>
    <col min="3582" max="3582" width="21.85546875" customWidth="1"/>
    <col min="3583" max="3583" width="44.42578125" customWidth="1"/>
    <col min="3584" max="3584" width="13.5703125" customWidth="1"/>
    <col min="3585" max="3586" width="0" hidden="1" customWidth="1"/>
    <col min="3587" max="3587" width="14.5703125" customWidth="1"/>
    <col min="3588" max="3588" width="11.140625" customWidth="1"/>
    <col min="3589" max="3589" width="12.85546875" customWidth="1"/>
    <col min="3590" max="3590" width="9.140625" customWidth="1"/>
    <col min="3591" max="3591" width="12.140625" customWidth="1"/>
    <col min="3592" max="3592" width="13.42578125" customWidth="1"/>
    <col min="3593" max="3593" width="14" bestFit="1" customWidth="1"/>
    <col min="3838" max="3838" width="21.85546875" customWidth="1"/>
    <col min="3839" max="3839" width="44.42578125" customWidth="1"/>
    <col min="3840" max="3840" width="13.5703125" customWidth="1"/>
    <col min="3841" max="3842" width="0" hidden="1" customWidth="1"/>
    <col min="3843" max="3843" width="14.5703125" customWidth="1"/>
    <col min="3844" max="3844" width="11.140625" customWidth="1"/>
    <col min="3845" max="3845" width="12.85546875" customWidth="1"/>
    <col min="3846" max="3846" width="9.140625" customWidth="1"/>
    <col min="3847" max="3847" width="12.140625" customWidth="1"/>
    <col min="3848" max="3848" width="13.42578125" customWidth="1"/>
    <col min="3849" max="3849" width="14" bestFit="1" customWidth="1"/>
    <col min="4094" max="4094" width="21.85546875" customWidth="1"/>
    <col min="4095" max="4095" width="44.42578125" customWidth="1"/>
    <col min="4096" max="4096" width="13.5703125" customWidth="1"/>
    <col min="4097" max="4098" width="0" hidden="1" customWidth="1"/>
    <col min="4099" max="4099" width="14.5703125" customWidth="1"/>
    <col min="4100" max="4100" width="11.140625" customWidth="1"/>
    <col min="4101" max="4101" width="12.85546875" customWidth="1"/>
    <col min="4102" max="4102" width="9.140625" customWidth="1"/>
    <col min="4103" max="4103" width="12.140625" customWidth="1"/>
    <col min="4104" max="4104" width="13.42578125" customWidth="1"/>
    <col min="4105" max="4105" width="14" bestFit="1" customWidth="1"/>
    <col min="4350" max="4350" width="21.85546875" customWidth="1"/>
    <col min="4351" max="4351" width="44.42578125" customWidth="1"/>
    <col min="4352" max="4352" width="13.5703125" customWidth="1"/>
    <col min="4353" max="4354" width="0" hidden="1" customWidth="1"/>
    <col min="4355" max="4355" width="14.5703125" customWidth="1"/>
    <col min="4356" max="4356" width="11.140625" customWidth="1"/>
    <col min="4357" max="4357" width="12.85546875" customWidth="1"/>
    <col min="4358" max="4358" width="9.140625" customWidth="1"/>
    <col min="4359" max="4359" width="12.140625" customWidth="1"/>
    <col min="4360" max="4360" width="13.42578125" customWidth="1"/>
    <col min="4361" max="4361" width="14" bestFit="1" customWidth="1"/>
    <col min="4606" max="4606" width="21.85546875" customWidth="1"/>
    <col min="4607" max="4607" width="44.42578125" customWidth="1"/>
    <col min="4608" max="4608" width="13.5703125" customWidth="1"/>
    <col min="4609" max="4610" width="0" hidden="1" customWidth="1"/>
    <col min="4611" max="4611" width="14.5703125" customWidth="1"/>
    <col min="4612" max="4612" width="11.140625" customWidth="1"/>
    <col min="4613" max="4613" width="12.85546875" customWidth="1"/>
    <col min="4614" max="4614" width="9.140625" customWidth="1"/>
    <col min="4615" max="4615" width="12.140625" customWidth="1"/>
    <col min="4616" max="4616" width="13.42578125" customWidth="1"/>
    <col min="4617" max="4617" width="14" bestFit="1" customWidth="1"/>
    <col min="4862" max="4862" width="21.85546875" customWidth="1"/>
    <col min="4863" max="4863" width="44.42578125" customWidth="1"/>
    <col min="4864" max="4864" width="13.5703125" customWidth="1"/>
    <col min="4865" max="4866" width="0" hidden="1" customWidth="1"/>
    <col min="4867" max="4867" width="14.5703125" customWidth="1"/>
    <col min="4868" max="4868" width="11.140625" customWidth="1"/>
    <col min="4869" max="4869" width="12.85546875" customWidth="1"/>
    <col min="4870" max="4870" width="9.140625" customWidth="1"/>
    <col min="4871" max="4871" width="12.140625" customWidth="1"/>
    <col min="4872" max="4872" width="13.42578125" customWidth="1"/>
    <col min="4873" max="4873" width="14" bestFit="1" customWidth="1"/>
    <col min="5118" max="5118" width="21.85546875" customWidth="1"/>
    <col min="5119" max="5119" width="44.42578125" customWidth="1"/>
    <col min="5120" max="5120" width="13.5703125" customWidth="1"/>
    <col min="5121" max="5122" width="0" hidden="1" customWidth="1"/>
    <col min="5123" max="5123" width="14.5703125" customWidth="1"/>
    <col min="5124" max="5124" width="11.140625" customWidth="1"/>
    <col min="5125" max="5125" width="12.85546875" customWidth="1"/>
    <col min="5126" max="5126" width="9.140625" customWidth="1"/>
    <col min="5127" max="5127" width="12.140625" customWidth="1"/>
    <col min="5128" max="5128" width="13.42578125" customWidth="1"/>
    <col min="5129" max="5129" width="14" bestFit="1" customWidth="1"/>
    <col min="5374" max="5374" width="21.85546875" customWidth="1"/>
    <col min="5375" max="5375" width="44.42578125" customWidth="1"/>
    <col min="5376" max="5376" width="13.5703125" customWidth="1"/>
    <col min="5377" max="5378" width="0" hidden="1" customWidth="1"/>
    <col min="5379" max="5379" width="14.5703125" customWidth="1"/>
    <col min="5380" max="5380" width="11.140625" customWidth="1"/>
    <col min="5381" max="5381" width="12.85546875" customWidth="1"/>
    <col min="5382" max="5382" width="9.140625" customWidth="1"/>
    <col min="5383" max="5383" width="12.140625" customWidth="1"/>
    <col min="5384" max="5384" width="13.42578125" customWidth="1"/>
    <col min="5385" max="5385" width="14" bestFit="1" customWidth="1"/>
    <col min="5630" max="5630" width="21.85546875" customWidth="1"/>
    <col min="5631" max="5631" width="44.42578125" customWidth="1"/>
    <col min="5632" max="5632" width="13.5703125" customWidth="1"/>
    <col min="5633" max="5634" width="0" hidden="1" customWidth="1"/>
    <col min="5635" max="5635" width="14.5703125" customWidth="1"/>
    <col min="5636" max="5636" width="11.140625" customWidth="1"/>
    <col min="5637" max="5637" width="12.85546875" customWidth="1"/>
    <col min="5638" max="5638" width="9.140625" customWidth="1"/>
    <col min="5639" max="5639" width="12.140625" customWidth="1"/>
    <col min="5640" max="5640" width="13.42578125" customWidth="1"/>
    <col min="5641" max="5641" width="14" bestFit="1" customWidth="1"/>
    <col min="5886" max="5886" width="21.85546875" customWidth="1"/>
    <col min="5887" max="5887" width="44.42578125" customWidth="1"/>
    <col min="5888" max="5888" width="13.5703125" customWidth="1"/>
    <col min="5889" max="5890" width="0" hidden="1" customWidth="1"/>
    <col min="5891" max="5891" width="14.5703125" customWidth="1"/>
    <col min="5892" max="5892" width="11.140625" customWidth="1"/>
    <col min="5893" max="5893" width="12.85546875" customWidth="1"/>
    <col min="5894" max="5894" width="9.140625" customWidth="1"/>
    <col min="5895" max="5895" width="12.140625" customWidth="1"/>
    <col min="5896" max="5896" width="13.42578125" customWidth="1"/>
    <col min="5897" max="5897" width="14" bestFit="1" customWidth="1"/>
    <col min="6142" max="6142" width="21.85546875" customWidth="1"/>
    <col min="6143" max="6143" width="44.42578125" customWidth="1"/>
    <col min="6144" max="6144" width="13.5703125" customWidth="1"/>
    <col min="6145" max="6146" width="0" hidden="1" customWidth="1"/>
    <col min="6147" max="6147" width="14.5703125" customWidth="1"/>
    <col min="6148" max="6148" width="11.140625" customWidth="1"/>
    <col min="6149" max="6149" width="12.85546875" customWidth="1"/>
    <col min="6150" max="6150" width="9.140625" customWidth="1"/>
    <col min="6151" max="6151" width="12.140625" customWidth="1"/>
    <col min="6152" max="6152" width="13.42578125" customWidth="1"/>
    <col min="6153" max="6153" width="14" bestFit="1" customWidth="1"/>
    <col min="6398" max="6398" width="21.85546875" customWidth="1"/>
    <col min="6399" max="6399" width="44.42578125" customWidth="1"/>
    <col min="6400" max="6400" width="13.5703125" customWidth="1"/>
    <col min="6401" max="6402" width="0" hidden="1" customWidth="1"/>
    <col min="6403" max="6403" width="14.5703125" customWidth="1"/>
    <col min="6404" max="6404" width="11.140625" customWidth="1"/>
    <col min="6405" max="6405" width="12.85546875" customWidth="1"/>
    <col min="6406" max="6406" width="9.140625" customWidth="1"/>
    <col min="6407" max="6407" width="12.140625" customWidth="1"/>
    <col min="6408" max="6408" width="13.42578125" customWidth="1"/>
    <col min="6409" max="6409" width="14" bestFit="1" customWidth="1"/>
    <col min="6654" max="6654" width="21.85546875" customWidth="1"/>
    <col min="6655" max="6655" width="44.42578125" customWidth="1"/>
    <col min="6656" max="6656" width="13.5703125" customWidth="1"/>
    <col min="6657" max="6658" width="0" hidden="1" customWidth="1"/>
    <col min="6659" max="6659" width="14.5703125" customWidth="1"/>
    <col min="6660" max="6660" width="11.140625" customWidth="1"/>
    <col min="6661" max="6661" width="12.85546875" customWidth="1"/>
    <col min="6662" max="6662" width="9.140625" customWidth="1"/>
    <col min="6663" max="6663" width="12.140625" customWidth="1"/>
    <col min="6664" max="6664" width="13.42578125" customWidth="1"/>
    <col min="6665" max="6665" width="14" bestFit="1" customWidth="1"/>
    <col min="6910" max="6910" width="21.85546875" customWidth="1"/>
    <col min="6911" max="6911" width="44.42578125" customWidth="1"/>
    <col min="6912" max="6912" width="13.5703125" customWidth="1"/>
    <col min="6913" max="6914" width="0" hidden="1" customWidth="1"/>
    <col min="6915" max="6915" width="14.5703125" customWidth="1"/>
    <col min="6916" max="6916" width="11.140625" customWidth="1"/>
    <col min="6917" max="6917" width="12.85546875" customWidth="1"/>
    <col min="6918" max="6918" width="9.140625" customWidth="1"/>
    <col min="6919" max="6919" width="12.140625" customWidth="1"/>
    <col min="6920" max="6920" width="13.42578125" customWidth="1"/>
    <col min="6921" max="6921" width="14" bestFit="1" customWidth="1"/>
    <col min="7166" max="7166" width="21.85546875" customWidth="1"/>
    <col min="7167" max="7167" width="44.42578125" customWidth="1"/>
    <col min="7168" max="7168" width="13.5703125" customWidth="1"/>
    <col min="7169" max="7170" width="0" hidden="1" customWidth="1"/>
    <col min="7171" max="7171" width="14.5703125" customWidth="1"/>
    <col min="7172" max="7172" width="11.140625" customWidth="1"/>
    <col min="7173" max="7173" width="12.85546875" customWidth="1"/>
    <col min="7174" max="7174" width="9.140625" customWidth="1"/>
    <col min="7175" max="7175" width="12.140625" customWidth="1"/>
    <col min="7176" max="7176" width="13.42578125" customWidth="1"/>
    <col min="7177" max="7177" width="14" bestFit="1" customWidth="1"/>
    <col min="7422" max="7422" width="21.85546875" customWidth="1"/>
    <col min="7423" max="7423" width="44.42578125" customWidth="1"/>
    <col min="7424" max="7424" width="13.5703125" customWidth="1"/>
    <col min="7425" max="7426" width="0" hidden="1" customWidth="1"/>
    <col min="7427" max="7427" width="14.5703125" customWidth="1"/>
    <col min="7428" max="7428" width="11.140625" customWidth="1"/>
    <col min="7429" max="7429" width="12.85546875" customWidth="1"/>
    <col min="7430" max="7430" width="9.140625" customWidth="1"/>
    <col min="7431" max="7431" width="12.140625" customWidth="1"/>
    <col min="7432" max="7432" width="13.42578125" customWidth="1"/>
    <col min="7433" max="7433" width="14" bestFit="1" customWidth="1"/>
    <col min="7678" max="7678" width="21.85546875" customWidth="1"/>
    <col min="7679" max="7679" width="44.42578125" customWidth="1"/>
    <col min="7680" max="7680" width="13.5703125" customWidth="1"/>
    <col min="7681" max="7682" width="0" hidden="1" customWidth="1"/>
    <col min="7683" max="7683" width="14.5703125" customWidth="1"/>
    <col min="7684" max="7684" width="11.140625" customWidth="1"/>
    <col min="7685" max="7685" width="12.85546875" customWidth="1"/>
    <col min="7686" max="7686" width="9.140625" customWidth="1"/>
    <col min="7687" max="7687" width="12.140625" customWidth="1"/>
    <col min="7688" max="7688" width="13.42578125" customWidth="1"/>
    <col min="7689" max="7689" width="14" bestFit="1" customWidth="1"/>
    <col min="7934" max="7934" width="21.85546875" customWidth="1"/>
    <col min="7935" max="7935" width="44.42578125" customWidth="1"/>
    <col min="7936" max="7936" width="13.5703125" customWidth="1"/>
    <col min="7937" max="7938" width="0" hidden="1" customWidth="1"/>
    <col min="7939" max="7939" width="14.5703125" customWidth="1"/>
    <col min="7940" max="7940" width="11.140625" customWidth="1"/>
    <col min="7941" max="7941" width="12.85546875" customWidth="1"/>
    <col min="7942" max="7942" width="9.140625" customWidth="1"/>
    <col min="7943" max="7943" width="12.140625" customWidth="1"/>
    <col min="7944" max="7944" width="13.42578125" customWidth="1"/>
    <col min="7945" max="7945" width="14" bestFit="1" customWidth="1"/>
    <col min="8190" max="8190" width="21.85546875" customWidth="1"/>
    <col min="8191" max="8191" width="44.42578125" customWidth="1"/>
    <col min="8192" max="8192" width="13.5703125" customWidth="1"/>
    <col min="8193" max="8194" width="0" hidden="1" customWidth="1"/>
    <col min="8195" max="8195" width="14.5703125" customWidth="1"/>
    <col min="8196" max="8196" width="11.140625" customWidth="1"/>
    <col min="8197" max="8197" width="12.85546875" customWidth="1"/>
    <col min="8198" max="8198" width="9.140625" customWidth="1"/>
    <col min="8199" max="8199" width="12.140625" customWidth="1"/>
    <col min="8200" max="8200" width="13.42578125" customWidth="1"/>
    <col min="8201" max="8201" width="14" bestFit="1" customWidth="1"/>
    <col min="8446" max="8446" width="21.85546875" customWidth="1"/>
    <col min="8447" max="8447" width="44.42578125" customWidth="1"/>
    <col min="8448" max="8448" width="13.5703125" customWidth="1"/>
    <col min="8449" max="8450" width="0" hidden="1" customWidth="1"/>
    <col min="8451" max="8451" width="14.5703125" customWidth="1"/>
    <col min="8452" max="8452" width="11.140625" customWidth="1"/>
    <col min="8453" max="8453" width="12.85546875" customWidth="1"/>
    <col min="8454" max="8454" width="9.140625" customWidth="1"/>
    <col min="8455" max="8455" width="12.140625" customWidth="1"/>
    <col min="8456" max="8456" width="13.42578125" customWidth="1"/>
    <col min="8457" max="8457" width="14" bestFit="1" customWidth="1"/>
    <col min="8702" max="8702" width="21.85546875" customWidth="1"/>
    <col min="8703" max="8703" width="44.42578125" customWidth="1"/>
    <col min="8704" max="8704" width="13.5703125" customWidth="1"/>
    <col min="8705" max="8706" width="0" hidden="1" customWidth="1"/>
    <col min="8707" max="8707" width="14.5703125" customWidth="1"/>
    <col min="8708" max="8708" width="11.140625" customWidth="1"/>
    <col min="8709" max="8709" width="12.85546875" customWidth="1"/>
    <col min="8710" max="8710" width="9.140625" customWidth="1"/>
    <col min="8711" max="8711" width="12.140625" customWidth="1"/>
    <col min="8712" max="8712" width="13.42578125" customWidth="1"/>
    <col min="8713" max="8713" width="14" bestFit="1" customWidth="1"/>
    <col min="8958" max="8958" width="21.85546875" customWidth="1"/>
    <col min="8959" max="8959" width="44.42578125" customWidth="1"/>
    <col min="8960" max="8960" width="13.5703125" customWidth="1"/>
    <col min="8961" max="8962" width="0" hidden="1" customWidth="1"/>
    <col min="8963" max="8963" width="14.5703125" customWidth="1"/>
    <col min="8964" max="8964" width="11.140625" customWidth="1"/>
    <col min="8965" max="8965" width="12.85546875" customWidth="1"/>
    <col min="8966" max="8966" width="9.140625" customWidth="1"/>
    <col min="8967" max="8967" width="12.140625" customWidth="1"/>
    <col min="8968" max="8968" width="13.42578125" customWidth="1"/>
    <col min="8969" max="8969" width="14" bestFit="1" customWidth="1"/>
    <col min="9214" max="9214" width="21.85546875" customWidth="1"/>
    <col min="9215" max="9215" width="44.42578125" customWidth="1"/>
    <col min="9216" max="9216" width="13.5703125" customWidth="1"/>
    <col min="9217" max="9218" width="0" hidden="1" customWidth="1"/>
    <col min="9219" max="9219" width="14.5703125" customWidth="1"/>
    <col min="9220" max="9220" width="11.140625" customWidth="1"/>
    <col min="9221" max="9221" width="12.85546875" customWidth="1"/>
    <col min="9222" max="9222" width="9.140625" customWidth="1"/>
    <col min="9223" max="9223" width="12.140625" customWidth="1"/>
    <col min="9224" max="9224" width="13.42578125" customWidth="1"/>
    <col min="9225" max="9225" width="14" bestFit="1" customWidth="1"/>
    <col min="9470" max="9470" width="21.85546875" customWidth="1"/>
    <col min="9471" max="9471" width="44.42578125" customWidth="1"/>
    <col min="9472" max="9472" width="13.5703125" customWidth="1"/>
    <col min="9473" max="9474" width="0" hidden="1" customWidth="1"/>
    <col min="9475" max="9475" width="14.5703125" customWidth="1"/>
    <col min="9476" max="9476" width="11.140625" customWidth="1"/>
    <col min="9477" max="9477" width="12.85546875" customWidth="1"/>
    <col min="9478" max="9478" width="9.140625" customWidth="1"/>
    <col min="9479" max="9479" width="12.140625" customWidth="1"/>
    <col min="9480" max="9480" width="13.42578125" customWidth="1"/>
    <col min="9481" max="9481" width="14" bestFit="1" customWidth="1"/>
    <col min="9726" max="9726" width="21.85546875" customWidth="1"/>
    <col min="9727" max="9727" width="44.42578125" customWidth="1"/>
    <col min="9728" max="9728" width="13.5703125" customWidth="1"/>
    <col min="9729" max="9730" width="0" hidden="1" customWidth="1"/>
    <col min="9731" max="9731" width="14.5703125" customWidth="1"/>
    <col min="9732" max="9732" width="11.140625" customWidth="1"/>
    <col min="9733" max="9733" width="12.85546875" customWidth="1"/>
    <col min="9734" max="9734" width="9.140625" customWidth="1"/>
    <col min="9735" max="9735" width="12.140625" customWidth="1"/>
    <col min="9736" max="9736" width="13.42578125" customWidth="1"/>
    <col min="9737" max="9737" width="14" bestFit="1" customWidth="1"/>
    <col min="9982" max="9982" width="21.85546875" customWidth="1"/>
    <col min="9983" max="9983" width="44.42578125" customWidth="1"/>
    <col min="9984" max="9984" width="13.5703125" customWidth="1"/>
    <col min="9985" max="9986" width="0" hidden="1" customWidth="1"/>
    <col min="9987" max="9987" width="14.5703125" customWidth="1"/>
    <col min="9988" max="9988" width="11.140625" customWidth="1"/>
    <col min="9989" max="9989" width="12.85546875" customWidth="1"/>
    <col min="9990" max="9990" width="9.140625" customWidth="1"/>
    <col min="9991" max="9991" width="12.140625" customWidth="1"/>
    <col min="9992" max="9992" width="13.42578125" customWidth="1"/>
    <col min="9993" max="9993" width="14" bestFit="1" customWidth="1"/>
    <col min="10238" max="10238" width="21.85546875" customWidth="1"/>
    <col min="10239" max="10239" width="44.42578125" customWidth="1"/>
    <col min="10240" max="10240" width="13.5703125" customWidth="1"/>
    <col min="10241" max="10242" width="0" hidden="1" customWidth="1"/>
    <col min="10243" max="10243" width="14.5703125" customWidth="1"/>
    <col min="10244" max="10244" width="11.140625" customWidth="1"/>
    <col min="10245" max="10245" width="12.85546875" customWidth="1"/>
    <col min="10246" max="10246" width="9.140625" customWidth="1"/>
    <col min="10247" max="10247" width="12.140625" customWidth="1"/>
    <col min="10248" max="10248" width="13.42578125" customWidth="1"/>
    <col min="10249" max="10249" width="14" bestFit="1" customWidth="1"/>
    <col min="10494" max="10494" width="21.85546875" customWidth="1"/>
    <col min="10495" max="10495" width="44.42578125" customWidth="1"/>
    <col min="10496" max="10496" width="13.5703125" customWidth="1"/>
    <col min="10497" max="10498" width="0" hidden="1" customWidth="1"/>
    <col min="10499" max="10499" width="14.5703125" customWidth="1"/>
    <col min="10500" max="10500" width="11.140625" customWidth="1"/>
    <col min="10501" max="10501" width="12.85546875" customWidth="1"/>
    <col min="10502" max="10502" width="9.140625" customWidth="1"/>
    <col min="10503" max="10503" width="12.140625" customWidth="1"/>
    <col min="10504" max="10504" width="13.42578125" customWidth="1"/>
    <col min="10505" max="10505" width="14" bestFit="1" customWidth="1"/>
    <col min="10750" max="10750" width="21.85546875" customWidth="1"/>
    <col min="10751" max="10751" width="44.42578125" customWidth="1"/>
    <col min="10752" max="10752" width="13.5703125" customWidth="1"/>
    <col min="10753" max="10754" width="0" hidden="1" customWidth="1"/>
    <col min="10755" max="10755" width="14.5703125" customWidth="1"/>
    <col min="10756" max="10756" width="11.140625" customWidth="1"/>
    <col min="10757" max="10757" width="12.85546875" customWidth="1"/>
    <col min="10758" max="10758" width="9.140625" customWidth="1"/>
    <col min="10759" max="10759" width="12.140625" customWidth="1"/>
    <col min="10760" max="10760" width="13.42578125" customWidth="1"/>
    <col min="10761" max="10761" width="14" bestFit="1" customWidth="1"/>
    <col min="11006" max="11006" width="21.85546875" customWidth="1"/>
    <col min="11007" max="11007" width="44.42578125" customWidth="1"/>
    <col min="11008" max="11008" width="13.5703125" customWidth="1"/>
    <col min="11009" max="11010" width="0" hidden="1" customWidth="1"/>
    <col min="11011" max="11011" width="14.5703125" customWidth="1"/>
    <col min="11012" max="11012" width="11.140625" customWidth="1"/>
    <col min="11013" max="11013" width="12.85546875" customWidth="1"/>
    <col min="11014" max="11014" width="9.140625" customWidth="1"/>
    <col min="11015" max="11015" width="12.140625" customWidth="1"/>
    <col min="11016" max="11016" width="13.42578125" customWidth="1"/>
    <col min="11017" max="11017" width="14" bestFit="1" customWidth="1"/>
    <col min="11262" max="11262" width="21.85546875" customWidth="1"/>
    <col min="11263" max="11263" width="44.42578125" customWidth="1"/>
    <col min="11264" max="11264" width="13.5703125" customWidth="1"/>
    <col min="11265" max="11266" width="0" hidden="1" customWidth="1"/>
    <col min="11267" max="11267" width="14.5703125" customWidth="1"/>
    <col min="11268" max="11268" width="11.140625" customWidth="1"/>
    <col min="11269" max="11269" width="12.85546875" customWidth="1"/>
    <col min="11270" max="11270" width="9.140625" customWidth="1"/>
    <col min="11271" max="11271" width="12.140625" customWidth="1"/>
    <col min="11272" max="11272" width="13.42578125" customWidth="1"/>
    <col min="11273" max="11273" width="14" bestFit="1" customWidth="1"/>
    <col min="11518" max="11518" width="21.85546875" customWidth="1"/>
    <col min="11519" max="11519" width="44.42578125" customWidth="1"/>
    <col min="11520" max="11520" width="13.5703125" customWidth="1"/>
    <col min="11521" max="11522" width="0" hidden="1" customWidth="1"/>
    <col min="11523" max="11523" width="14.5703125" customWidth="1"/>
    <col min="11524" max="11524" width="11.140625" customWidth="1"/>
    <col min="11525" max="11525" width="12.85546875" customWidth="1"/>
    <col min="11526" max="11526" width="9.140625" customWidth="1"/>
    <col min="11527" max="11527" width="12.140625" customWidth="1"/>
    <col min="11528" max="11528" width="13.42578125" customWidth="1"/>
    <col min="11529" max="11529" width="14" bestFit="1" customWidth="1"/>
    <col min="11774" max="11774" width="21.85546875" customWidth="1"/>
    <col min="11775" max="11775" width="44.42578125" customWidth="1"/>
    <col min="11776" max="11776" width="13.5703125" customWidth="1"/>
    <col min="11777" max="11778" width="0" hidden="1" customWidth="1"/>
    <col min="11779" max="11779" width="14.5703125" customWidth="1"/>
    <col min="11780" max="11780" width="11.140625" customWidth="1"/>
    <col min="11781" max="11781" width="12.85546875" customWidth="1"/>
    <col min="11782" max="11782" width="9.140625" customWidth="1"/>
    <col min="11783" max="11783" width="12.140625" customWidth="1"/>
    <col min="11784" max="11784" width="13.42578125" customWidth="1"/>
    <col min="11785" max="11785" width="14" bestFit="1" customWidth="1"/>
    <col min="12030" max="12030" width="21.85546875" customWidth="1"/>
    <col min="12031" max="12031" width="44.42578125" customWidth="1"/>
    <col min="12032" max="12032" width="13.5703125" customWidth="1"/>
    <col min="12033" max="12034" width="0" hidden="1" customWidth="1"/>
    <col min="12035" max="12035" width="14.5703125" customWidth="1"/>
    <col min="12036" max="12036" width="11.140625" customWidth="1"/>
    <col min="12037" max="12037" width="12.85546875" customWidth="1"/>
    <col min="12038" max="12038" width="9.140625" customWidth="1"/>
    <col min="12039" max="12039" width="12.140625" customWidth="1"/>
    <col min="12040" max="12040" width="13.42578125" customWidth="1"/>
    <col min="12041" max="12041" width="14" bestFit="1" customWidth="1"/>
    <col min="12286" max="12286" width="21.85546875" customWidth="1"/>
    <col min="12287" max="12287" width="44.42578125" customWidth="1"/>
    <col min="12288" max="12288" width="13.5703125" customWidth="1"/>
    <col min="12289" max="12290" width="0" hidden="1" customWidth="1"/>
    <col min="12291" max="12291" width="14.5703125" customWidth="1"/>
    <col min="12292" max="12292" width="11.140625" customWidth="1"/>
    <col min="12293" max="12293" width="12.85546875" customWidth="1"/>
    <col min="12294" max="12294" width="9.140625" customWidth="1"/>
    <col min="12295" max="12295" width="12.140625" customWidth="1"/>
    <col min="12296" max="12296" width="13.42578125" customWidth="1"/>
    <col min="12297" max="12297" width="14" bestFit="1" customWidth="1"/>
    <col min="12542" max="12542" width="21.85546875" customWidth="1"/>
    <col min="12543" max="12543" width="44.42578125" customWidth="1"/>
    <col min="12544" max="12544" width="13.5703125" customWidth="1"/>
    <col min="12545" max="12546" width="0" hidden="1" customWidth="1"/>
    <col min="12547" max="12547" width="14.5703125" customWidth="1"/>
    <col min="12548" max="12548" width="11.140625" customWidth="1"/>
    <col min="12549" max="12549" width="12.85546875" customWidth="1"/>
    <col min="12550" max="12550" width="9.140625" customWidth="1"/>
    <col min="12551" max="12551" width="12.140625" customWidth="1"/>
    <col min="12552" max="12552" width="13.42578125" customWidth="1"/>
    <col min="12553" max="12553" width="14" bestFit="1" customWidth="1"/>
    <col min="12798" max="12798" width="21.85546875" customWidth="1"/>
    <col min="12799" max="12799" width="44.42578125" customWidth="1"/>
    <col min="12800" max="12800" width="13.5703125" customWidth="1"/>
    <col min="12801" max="12802" width="0" hidden="1" customWidth="1"/>
    <col min="12803" max="12803" width="14.5703125" customWidth="1"/>
    <col min="12804" max="12804" width="11.140625" customWidth="1"/>
    <col min="12805" max="12805" width="12.85546875" customWidth="1"/>
    <col min="12806" max="12806" width="9.140625" customWidth="1"/>
    <col min="12807" max="12807" width="12.140625" customWidth="1"/>
    <col min="12808" max="12808" width="13.42578125" customWidth="1"/>
    <col min="12809" max="12809" width="14" bestFit="1" customWidth="1"/>
    <col min="13054" max="13054" width="21.85546875" customWidth="1"/>
    <col min="13055" max="13055" width="44.42578125" customWidth="1"/>
    <col min="13056" max="13056" width="13.5703125" customWidth="1"/>
    <col min="13057" max="13058" width="0" hidden="1" customWidth="1"/>
    <col min="13059" max="13059" width="14.5703125" customWidth="1"/>
    <col min="13060" max="13060" width="11.140625" customWidth="1"/>
    <col min="13061" max="13061" width="12.85546875" customWidth="1"/>
    <col min="13062" max="13062" width="9.140625" customWidth="1"/>
    <col min="13063" max="13063" width="12.140625" customWidth="1"/>
    <col min="13064" max="13064" width="13.42578125" customWidth="1"/>
    <col min="13065" max="13065" width="14" bestFit="1" customWidth="1"/>
    <col min="13310" max="13310" width="21.85546875" customWidth="1"/>
    <col min="13311" max="13311" width="44.42578125" customWidth="1"/>
    <col min="13312" max="13312" width="13.5703125" customWidth="1"/>
    <col min="13313" max="13314" width="0" hidden="1" customWidth="1"/>
    <col min="13315" max="13315" width="14.5703125" customWidth="1"/>
    <col min="13316" max="13316" width="11.140625" customWidth="1"/>
    <col min="13317" max="13317" width="12.85546875" customWidth="1"/>
    <col min="13318" max="13318" width="9.140625" customWidth="1"/>
    <col min="13319" max="13319" width="12.140625" customWidth="1"/>
    <col min="13320" max="13320" width="13.42578125" customWidth="1"/>
    <col min="13321" max="13321" width="14" bestFit="1" customWidth="1"/>
    <col min="13566" max="13566" width="21.85546875" customWidth="1"/>
    <col min="13567" max="13567" width="44.42578125" customWidth="1"/>
    <col min="13568" max="13568" width="13.5703125" customWidth="1"/>
    <col min="13569" max="13570" width="0" hidden="1" customWidth="1"/>
    <col min="13571" max="13571" width="14.5703125" customWidth="1"/>
    <col min="13572" max="13572" width="11.140625" customWidth="1"/>
    <col min="13573" max="13573" width="12.85546875" customWidth="1"/>
    <col min="13574" max="13574" width="9.140625" customWidth="1"/>
    <col min="13575" max="13575" width="12.140625" customWidth="1"/>
    <col min="13576" max="13576" width="13.42578125" customWidth="1"/>
    <col min="13577" max="13577" width="14" bestFit="1" customWidth="1"/>
    <col min="13822" max="13822" width="21.85546875" customWidth="1"/>
    <col min="13823" max="13823" width="44.42578125" customWidth="1"/>
    <col min="13824" max="13824" width="13.5703125" customWidth="1"/>
    <col min="13825" max="13826" width="0" hidden="1" customWidth="1"/>
    <col min="13827" max="13827" width="14.5703125" customWidth="1"/>
    <col min="13828" max="13828" width="11.140625" customWidth="1"/>
    <col min="13829" max="13829" width="12.85546875" customWidth="1"/>
    <col min="13830" max="13830" width="9.140625" customWidth="1"/>
    <col min="13831" max="13831" width="12.140625" customWidth="1"/>
    <col min="13832" max="13832" width="13.42578125" customWidth="1"/>
    <col min="13833" max="13833" width="14" bestFit="1" customWidth="1"/>
    <col min="14078" max="14078" width="21.85546875" customWidth="1"/>
    <col min="14079" max="14079" width="44.42578125" customWidth="1"/>
    <col min="14080" max="14080" width="13.5703125" customWidth="1"/>
    <col min="14081" max="14082" width="0" hidden="1" customWidth="1"/>
    <col min="14083" max="14083" width="14.5703125" customWidth="1"/>
    <col min="14084" max="14084" width="11.140625" customWidth="1"/>
    <col min="14085" max="14085" width="12.85546875" customWidth="1"/>
    <col min="14086" max="14086" width="9.140625" customWidth="1"/>
    <col min="14087" max="14087" width="12.140625" customWidth="1"/>
    <col min="14088" max="14088" width="13.42578125" customWidth="1"/>
    <col min="14089" max="14089" width="14" bestFit="1" customWidth="1"/>
    <col min="14334" max="14334" width="21.85546875" customWidth="1"/>
    <col min="14335" max="14335" width="44.42578125" customWidth="1"/>
    <col min="14336" max="14336" width="13.5703125" customWidth="1"/>
    <col min="14337" max="14338" width="0" hidden="1" customWidth="1"/>
    <col min="14339" max="14339" width="14.5703125" customWidth="1"/>
    <col min="14340" max="14340" width="11.140625" customWidth="1"/>
    <col min="14341" max="14341" width="12.85546875" customWidth="1"/>
    <col min="14342" max="14342" width="9.140625" customWidth="1"/>
    <col min="14343" max="14343" width="12.140625" customWidth="1"/>
    <col min="14344" max="14344" width="13.42578125" customWidth="1"/>
    <col min="14345" max="14345" width="14" bestFit="1" customWidth="1"/>
    <col min="14590" max="14590" width="21.85546875" customWidth="1"/>
    <col min="14591" max="14591" width="44.42578125" customWidth="1"/>
    <col min="14592" max="14592" width="13.5703125" customWidth="1"/>
    <col min="14593" max="14594" width="0" hidden="1" customWidth="1"/>
    <col min="14595" max="14595" width="14.5703125" customWidth="1"/>
    <col min="14596" max="14596" width="11.140625" customWidth="1"/>
    <col min="14597" max="14597" width="12.85546875" customWidth="1"/>
    <col min="14598" max="14598" width="9.140625" customWidth="1"/>
    <col min="14599" max="14599" width="12.140625" customWidth="1"/>
    <col min="14600" max="14600" width="13.42578125" customWidth="1"/>
    <col min="14601" max="14601" width="14" bestFit="1" customWidth="1"/>
    <col min="14846" max="14846" width="21.85546875" customWidth="1"/>
    <col min="14847" max="14847" width="44.42578125" customWidth="1"/>
    <col min="14848" max="14848" width="13.5703125" customWidth="1"/>
    <col min="14849" max="14850" width="0" hidden="1" customWidth="1"/>
    <col min="14851" max="14851" width="14.5703125" customWidth="1"/>
    <col min="14852" max="14852" width="11.140625" customWidth="1"/>
    <col min="14853" max="14853" width="12.85546875" customWidth="1"/>
    <col min="14854" max="14854" width="9.140625" customWidth="1"/>
    <col min="14855" max="14855" width="12.140625" customWidth="1"/>
    <col min="14856" max="14856" width="13.42578125" customWidth="1"/>
    <col min="14857" max="14857" width="14" bestFit="1" customWidth="1"/>
    <col min="15102" max="15102" width="21.85546875" customWidth="1"/>
    <col min="15103" max="15103" width="44.42578125" customWidth="1"/>
    <col min="15104" max="15104" width="13.5703125" customWidth="1"/>
    <col min="15105" max="15106" width="0" hidden="1" customWidth="1"/>
    <col min="15107" max="15107" width="14.5703125" customWidth="1"/>
    <col min="15108" max="15108" width="11.140625" customWidth="1"/>
    <col min="15109" max="15109" width="12.85546875" customWidth="1"/>
    <col min="15110" max="15110" width="9.140625" customWidth="1"/>
    <col min="15111" max="15111" width="12.140625" customWidth="1"/>
    <col min="15112" max="15112" width="13.42578125" customWidth="1"/>
    <col min="15113" max="15113" width="14" bestFit="1" customWidth="1"/>
    <col min="15358" max="15358" width="21.85546875" customWidth="1"/>
    <col min="15359" max="15359" width="44.42578125" customWidth="1"/>
    <col min="15360" max="15360" width="13.5703125" customWidth="1"/>
    <col min="15361" max="15362" width="0" hidden="1" customWidth="1"/>
    <col min="15363" max="15363" width="14.5703125" customWidth="1"/>
    <col min="15364" max="15364" width="11.140625" customWidth="1"/>
    <col min="15365" max="15365" width="12.85546875" customWidth="1"/>
    <col min="15366" max="15366" width="9.140625" customWidth="1"/>
    <col min="15367" max="15367" width="12.140625" customWidth="1"/>
    <col min="15368" max="15368" width="13.42578125" customWidth="1"/>
    <col min="15369" max="15369" width="14" bestFit="1" customWidth="1"/>
    <col min="15614" max="15614" width="21.85546875" customWidth="1"/>
    <col min="15615" max="15615" width="44.42578125" customWidth="1"/>
    <col min="15616" max="15616" width="13.5703125" customWidth="1"/>
    <col min="15617" max="15618" width="0" hidden="1" customWidth="1"/>
    <col min="15619" max="15619" width="14.5703125" customWidth="1"/>
    <col min="15620" max="15620" width="11.140625" customWidth="1"/>
    <col min="15621" max="15621" width="12.85546875" customWidth="1"/>
    <col min="15622" max="15622" width="9.140625" customWidth="1"/>
    <col min="15623" max="15623" width="12.140625" customWidth="1"/>
    <col min="15624" max="15624" width="13.42578125" customWidth="1"/>
    <col min="15625" max="15625" width="14" bestFit="1" customWidth="1"/>
    <col min="15870" max="15870" width="21.85546875" customWidth="1"/>
    <col min="15871" max="15871" width="44.42578125" customWidth="1"/>
    <col min="15872" max="15872" width="13.5703125" customWidth="1"/>
    <col min="15873" max="15874" width="0" hidden="1" customWidth="1"/>
    <col min="15875" max="15875" width="14.5703125" customWidth="1"/>
    <col min="15876" max="15876" width="11.140625" customWidth="1"/>
    <col min="15877" max="15877" width="12.85546875" customWidth="1"/>
    <col min="15878" max="15878" width="9.140625" customWidth="1"/>
    <col min="15879" max="15879" width="12.140625" customWidth="1"/>
    <col min="15880" max="15880" width="13.42578125" customWidth="1"/>
    <col min="15881" max="15881" width="14" bestFit="1" customWidth="1"/>
    <col min="16126" max="16126" width="21.85546875" customWidth="1"/>
    <col min="16127" max="16127" width="44.42578125" customWidth="1"/>
    <col min="16128" max="16128" width="13.5703125" customWidth="1"/>
    <col min="16129" max="16130" width="0" hidden="1" customWidth="1"/>
    <col min="16131" max="16131" width="14.5703125" customWidth="1"/>
    <col min="16132" max="16132" width="11.140625" customWidth="1"/>
    <col min="16133" max="16133" width="12.85546875" customWidth="1"/>
    <col min="16134" max="16134" width="9.140625" customWidth="1"/>
    <col min="16135" max="16135" width="12.140625" customWidth="1"/>
    <col min="16136" max="16136" width="13.42578125" customWidth="1"/>
    <col min="16137" max="16137" width="14" bestFit="1" customWidth="1"/>
  </cols>
  <sheetData>
    <row r="1" spans="1:8" ht="15" customHeight="1">
      <c r="F1" s="178" t="s">
        <v>293</v>
      </c>
      <c r="G1" s="178"/>
    </row>
    <row r="2" spans="1:8" ht="89.25" customHeight="1">
      <c r="C2" s="158"/>
      <c r="F2" s="174" t="s">
        <v>416</v>
      </c>
      <c r="G2" s="174"/>
    </row>
    <row r="3" spans="1:8">
      <c r="C3" s="84"/>
      <c r="D3" s="97"/>
      <c r="E3" s="97"/>
      <c r="F3" s="97"/>
      <c r="G3" s="106"/>
    </row>
    <row r="4" spans="1:8" ht="26.25" customHeight="1">
      <c r="A4" s="177" t="s">
        <v>393</v>
      </c>
      <c r="B4" s="177"/>
      <c r="C4" s="177"/>
      <c r="D4" s="177"/>
      <c r="E4" s="177"/>
      <c r="F4" s="177"/>
      <c r="G4" s="177"/>
    </row>
    <row r="5" spans="1:8" ht="40.5" customHeight="1">
      <c r="A5" s="119" t="s">
        <v>136</v>
      </c>
      <c r="B5" s="119" t="s">
        <v>0</v>
      </c>
      <c r="C5" s="85" t="s">
        <v>294</v>
      </c>
      <c r="D5" s="117" t="s">
        <v>390</v>
      </c>
      <c r="E5" s="117" t="s">
        <v>295</v>
      </c>
      <c r="F5" s="117" t="s">
        <v>394</v>
      </c>
      <c r="G5" s="118" t="s">
        <v>388</v>
      </c>
      <c r="H5" t="s">
        <v>411</v>
      </c>
    </row>
    <row r="6" spans="1:8" ht="21">
      <c r="A6" s="86"/>
      <c r="B6" s="145" t="s">
        <v>296</v>
      </c>
      <c r="C6" s="146">
        <f t="shared" ref="C6:E6" si="0">C8+C10+C12+C16+C19+C25+C30+C34+C36</f>
        <v>25197.93</v>
      </c>
      <c r="D6" s="159">
        <f t="shared" si="0"/>
        <v>30130.710000000003</v>
      </c>
      <c r="E6" s="159">
        <f t="shared" si="0"/>
        <v>20490.658879999992</v>
      </c>
      <c r="F6" s="159">
        <f t="shared" ref="F6" si="1">F8+F10+F12+F16+F19+F25+F30+F34+F36</f>
        <v>30418.776809999999</v>
      </c>
      <c r="G6" s="107">
        <f>F6/D6</f>
        <v>1.0095605715895841</v>
      </c>
      <c r="H6">
        <v>30130.710000000003</v>
      </c>
    </row>
    <row r="7" spans="1:8" ht="15.75">
      <c r="A7" s="86"/>
      <c r="B7" s="145" t="s">
        <v>297</v>
      </c>
      <c r="C7" s="146">
        <f t="shared" ref="C7:E7" si="2">C8+C10+C12+C16</f>
        <v>21966.93</v>
      </c>
      <c r="D7" s="159">
        <f t="shared" si="2"/>
        <v>23430.49</v>
      </c>
      <c r="E7" s="159">
        <f t="shared" si="2"/>
        <v>18013.161049999995</v>
      </c>
      <c r="F7" s="159">
        <f t="shared" ref="F7" si="3">F8+F10+F12+F16</f>
        <v>23669.469409999998</v>
      </c>
      <c r="G7" s="107">
        <f t="shared" ref="G7:G55" si="4">F7/D7</f>
        <v>1.0101995054307442</v>
      </c>
      <c r="H7">
        <v>23430.49</v>
      </c>
    </row>
    <row r="8" spans="1:8" ht="15.75">
      <c r="A8" s="86" t="s">
        <v>298</v>
      </c>
      <c r="B8" s="147" t="s">
        <v>299</v>
      </c>
      <c r="C8" s="148">
        <f t="shared" ref="C8:F8" si="5">C9</f>
        <v>14087.03</v>
      </c>
      <c r="D8" s="160">
        <f t="shared" si="5"/>
        <v>14087.03</v>
      </c>
      <c r="E8" s="160">
        <f t="shared" si="5"/>
        <v>11600.165039999998</v>
      </c>
      <c r="F8" s="160">
        <f t="shared" si="5"/>
        <v>14057.077989999998</v>
      </c>
      <c r="G8" s="107">
        <f t="shared" si="4"/>
        <v>0.99787378815832706</v>
      </c>
      <c r="H8" s="95">
        <v>14087.03</v>
      </c>
    </row>
    <row r="9" spans="1:8" ht="15.75">
      <c r="A9" s="86" t="s">
        <v>300</v>
      </c>
      <c r="B9" s="149" t="s">
        <v>301</v>
      </c>
      <c r="C9" s="150">
        <v>14087.03</v>
      </c>
      <c r="D9" s="161">
        <f>14087.03</f>
        <v>14087.03</v>
      </c>
      <c r="E9" s="161">
        <f>11113.43357+168.0495+295.48741+11.9843+0.01269+9.80931+0.20926+1.179</f>
        <v>11600.165039999998</v>
      </c>
      <c r="F9" s="161">
        <f>13564.01874+168.0495+295.49741+17.6718+0.01269+10.32931-0.08046+1.579</f>
        <v>14057.077989999998</v>
      </c>
      <c r="G9" s="107">
        <f t="shared" si="4"/>
        <v>0.99787378815832706</v>
      </c>
      <c r="H9">
        <v>14087.03</v>
      </c>
    </row>
    <row r="10" spans="1:8" ht="48" customHeight="1">
      <c r="A10" s="86" t="s">
        <v>302</v>
      </c>
      <c r="B10" s="147" t="s">
        <v>303</v>
      </c>
      <c r="C10" s="148">
        <f t="shared" ref="C10:F10" si="6">C11</f>
        <v>774.9</v>
      </c>
      <c r="D10" s="160">
        <f t="shared" si="6"/>
        <v>817.46</v>
      </c>
      <c r="E10" s="160">
        <f t="shared" si="6"/>
        <v>651.86854999999991</v>
      </c>
      <c r="F10" s="160">
        <f t="shared" si="6"/>
        <v>865.97861999999986</v>
      </c>
      <c r="G10" s="107">
        <f t="shared" si="4"/>
        <v>1.0593528980011253</v>
      </c>
      <c r="H10">
        <v>817.46</v>
      </c>
    </row>
    <row r="11" spans="1:8" ht="41.25" customHeight="1">
      <c r="A11" s="86" t="s">
        <v>304</v>
      </c>
      <c r="B11" s="149" t="s">
        <v>305</v>
      </c>
      <c r="C11" s="151">
        <v>774.9</v>
      </c>
      <c r="D11" s="161">
        <f>271.26+8.1+538.1</f>
        <v>817.46</v>
      </c>
      <c r="E11" s="161">
        <f>223.71984+6.07557+448.84789-26.77475</f>
        <v>651.86854999999991</v>
      </c>
      <c r="F11" s="161">
        <f>301.88241+594.74633-38.8284+8.17828</f>
        <v>865.97861999999986</v>
      </c>
      <c r="G11" s="107">
        <f t="shared" si="4"/>
        <v>1.0593528980011253</v>
      </c>
      <c r="H11">
        <v>817.46</v>
      </c>
    </row>
    <row r="12" spans="1:8" ht="17.25" customHeight="1">
      <c r="A12" s="86" t="s">
        <v>306</v>
      </c>
      <c r="B12" s="147" t="s">
        <v>307</v>
      </c>
      <c r="C12" s="148">
        <f t="shared" ref="C12" si="7">SUM(C13:C15)</f>
        <v>7105</v>
      </c>
      <c r="D12" s="160">
        <f>SUM(D13:D15)</f>
        <v>8526</v>
      </c>
      <c r="E12" s="160">
        <f t="shared" ref="E12:F12" si="8">SUM(E13:E15)</f>
        <v>5761.1274599999997</v>
      </c>
      <c r="F12" s="160">
        <f t="shared" si="8"/>
        <v>8746.4128000000019</v>
      </c>
      <c r="G12" s="107">
        <f t="shared" si="4"/>
        <v>1.0258518414262259</v>
      </c>
      <c r="H12">
        <v>8526</v>
      </c>
    </row>
    <row r="13" spans="1:8" ht="15.75">
      <c r="A13" s="86" t="s">
        <v>308</v>
      </c>
      <c r="B13" s="147" t="s">
        <v>309</v>
      </c>
      <c r="C13" s="150">
        <v>259</v>
      </c>
      <c r="D13" s="161">
        <v>490</v>
      </c>
      <c r="E13" s="161">
        <f>324.18727+5.59463</f>
        <v>329.78190000000001</v>
      </c>
      <c r="F13" s="161">
        <f>467.02346+7.49133</f>
        <v>474.51479</v>
      </c>
      <c r="G13" s="107">
        <f t="shared" si="4"/>
        <v>0.96839753061224487</v>
      </c>
      <c r="H13">
        <v>490</v>
      </c>
    </row>
    <row r="14" spans="1:8" ht="19.5" customHeight="1">
      <c r="A14" s="86" t="s">
        <v>310</v>
      </c>
      <c r="B14" s="147" t="s">
        <v>311</v>
      </c>
      <c r="C14" s="150">
        <v>4046</v>
      </c>
      <c r="D14" s="161">
        <f>230+5266</f>
        <v>5496</v>
      </c>
      <c r="E14" s="161">
        <f>120.63293+0.47535+3385.1996+98.82637+0.0068</f>
        <v>3605.1410500000002</v>
      </c>
      <c r="F14" s="161">
        <f>122.91743+0.56963+1+5389.26029+150.33888+0.06016</f>
        <v>5664.1463900000008</v>
      </c>
      <c r="G14" s="107">
        <f t="shared" si="4"/>
        <v>1.0305943213245998</v>
      </c>
      <c r="H14">
        <v>5496</v>
      </c>
    </row>
    <row r="15" spans="1:8" ht="17.25" customHeight="1">
      <c r="A15" s="86" t="s">
        <v>312</v>
      </c>
      <c r="B15" s="147" t="s">
        <v>313</v>
      </c>
      <c r="C15" s="150">
        <v>2800</v>
      </c>
      <c r="D15" s="161">
        <f>1310+1230</f>
        <v>2540</v>
      </c>
      <c r="E15" s="161">
        <f>1096.6117+1.19932+721.20661+5.18471+2+0.00217</f>
        <v>1826.2045099999998</v>
      </c>
      <c r="F15" s="161">
        <f>1331.80032+1.19932+1259.09915+13.65283+2</f>
        <v>2607.75162</v>
      </c>
      <c r="G15" s="107">
        <f t="shared" si="4"/>
        <v>1.0266738661417323</v>
      </c>
      <c r="H15">
        <v>2540</v>
      </c>
    </row>
    <row r="16" spans="1:8" ht="17.25" hidden="1" customHeight="1" outlineLevel="1">
      <c r="A16" s="86" t="s">
        <v>314</v>
      </c>
      <c r="B16" s="149" t="s">
        <v>315</v>
      </c>
      <c r="C16" s="148">
        <f t="shared" ref="C16:F16" si="9">C17</f>
        <v>0</v>
      </c>
      <c r="D16" s="160">
        <f t="shared" si="9"/>
        <v>0</v>
      </c>
      <c r="E16" s="160">
        <f t="shared" si="9"/>
        <v>0</v>
      </c>
      <c r="F16" s="160">
        <f t="shared" si="9"/>
        <v>0</v>
      </c>
      <c r="G16" s="107"/>
      <c r="H16">
        <v>0</v>
      </c>
    </row>
    <row r="17" spans="1:8" ht="72" hidden="1" customHeight="1" outlineLevel="1">
      <c r="A17" s="89" t="s">
        <v>316</v>
      </c>
      <c r="B17" s="149" t="s">
        <v>317</v>
      </c>
      <c r="C17" s="150">
        <v>0</v>
      </c>
      <c r="D17" s="161">
        <v>0</v>
      </c>
      <c r="E17" s="161">
        <v>0</v>
      </c>
      <c r="F17" s="161">
        <v>0</v>
      </c>
      <c r="G17" s="107" t="e">
        <f t="shared" si="4"/>
        <v>#DIV/0!</v>
      </c>
      <c r="H17">
        <v>0</v>
      </c>
    </row>
    <row r="18" spans="1:8" ht="15.75" collapsed="1">
      <c r="A18" s="89"/>
      <c r="B18" s="145" t="s">
        <v>318</v>
      </c>
      <c r="C18" s="148">
        <f t="shared" ref="C18" si="10">C19+C25+C30+C34+C36</f>
        <v>3231</v>
      </c>
      <c r="D18" s="160">
        <f>D19+D25+D30+D34+D36</f>
        <v>6700.22</v>
      </c>
      <c r="E18" s="160">
        <f t="shared" ref="E18:F18" si="11">E19+E25+E30+E34+E36</f>
        <v>2477.4978299999998</v>
      </c>
      <c r="F18" s="160">
        <f t="shared" si="11"/>
        <v>6749.3073999999997</v>
      </c>
      <c r="G18" s="107">
        <f t="shared" si="4"/>
        <v>1.0073262370489326</v>
      </c>
      <c r="H18">
        <v>6700.22</v>
      </c>
    </row>
    <row r="19" spans="1:8" ht="45">
      <c r="A19" s="86" t="s">
        <v>319</v>
      </c>
      <c r="B19" s="149" t="s">
        <v>320</v>
      </c>
      <c r="C19" s="148">
        <f t="shared" ref="C19" si="12">SUM(C20:C24)</f>
        <v>3160</v>
      </c>
      <c r="D19" s="160">
        <f>SUM(D20:D24)</f>
        <v>1472.65</v>
      </c>
      <c r="E19" s="160">
        <f t="shared" ref="E19:F19" si="13">SUM(E20:E24)</f>
        <v>1216.3318199999999</v>
      </c>
      <c r="F19" s="160">
        <f t="shared" si="13"/>
        <v>1522.43929</v>
      </c>
      <c r="G19" s="107">
        <f t="shared" si="4"/>
        <v>1.0338093165382134</v>
      </c>
      <c r="H19">
        <v>1472.65</v>
      </c>
    </row>
    <row r="20" spans="1:8" ht="78.75" hidden="1" outlineLevel="1">
      <c r="A20" s="88" t="s">
        <v>321</v>
      </c>
      <c r="B20" s="147" t="s">
        <v>322</v>
      </c>
      <c r="C20" s="150">
        <v>1900</v>
      </c>
      <c r="D20" s="161">
        <v>0</v>
      </c>
      <c r="E20" s="161">
        <v>0</v>
      </c>
      <c r="F20" s="161">
        <v>0</v>
      </c>
      <c r="G20" s="107" t="e">
        <f t="shared" si="4"/>
        <v>#DIV/0!</v>
      </c>
      <c r="H20">
        <v>0</v>
      </c>
    </row>
    <row r="21" spans="1:8" ht="69" customHeight="1" collapsed="1">
      <c r="A21" s="88" t="s">
        <v>323</v>
      </c>
      <c r="B21" s="152" t="s">
        <v>324</v>
      </c>
      <c r="C21" s="153">
        <v>500</v>
      </c>
      <c r="D21" s="161">
        <f>52</f>
        <v>52</v>
      </c>
      <c r="E21" s="161">
        <v>36.09348</v>
      </c>
      <c r="F21" s="161">
        <f>55.10148</f>
        <v>55.101480000000002</v>
      </c>
      <c r="G21" s="107">
        <f t="shared" si="4"/>
        <v>1.0596438461538462</v>
      </c>
      <c r="H21">
        <v>52</v>
      </c>
    </row>
    <row r="22" spans="1:8" ht="36" customHeight="1">
      <c r="A22" s="88" t="s">
        <v>325</v>
      </c>
      <c r="B22" s="147" t="s">
        <v>326</v>
      </c>
      <c r="C22" s="153"/>
      <c r="D22" s="161">
        <v>595.65</v>
      </c>
      <c r="E22" s="161">
        <v>524.80376999999999</v>
      </c>
      <c r="F22" s="161">
        <v>616.06462999999997</v>
      </c>
      <c r="G22" s="107">
        <f t="shared" si="4"/>
        <v>1.0342728615797867</v>
      </c>
      <c r="H22">
        <v>595.65000000000009</v>
      </c>
    </row>
    <row r="23" spans="1:8" ht="45">
      <c r="A23" s="90" t="s">
        <v>327</v>
      </c>
      <c r="B23" s="147" t="s">
        <v>328</v>
      </c>
      <c r="C23" s="153">
        <v>60</v>
      </c>
      <c r="D23" s="161">
        <v>15</v>
      </c>
      <c r="E23" s="161">
        <v>9.4499999999999993</v>
      </c>
      <c r="F23" s="161">
        <v>18.899999999999999</v>
      </c>
      <c r="G23" s="107">
        <f t="shared" si="4"/>
        <v>1.26</v>
      </c>
      <c r="H23">
        <v>15</v>
      </c>
    </row>
    <row r="24" spans="1:8" ht="24" customHeight="1">
      <c r="A24" s="90" t="s">
        <v>329</v>
      </c>
      <c r="B24" s="147" t="s">
        <v>330</v>
      </c>
      <c r="C24" s="153">
        <v>700</v>
      </c>
      <c r="D24" s="161">
        <v>810</v>
      </c>
      <c r="E24" s="161">
        <v>645.98456999999996</v>
      </c>
      <c r="F24" s="161">
        <v>832.37318000000005</v>
      </c>
      <c r="G24" s="107">
        <f t="shared" si="4"/>
        <v>1.0276212098765434</v>
      </c>
      <c r="H24">
        <v>810</v>
      </c>
    </row>
    <row r="25" spans="1:8" ht="33.75">
      <c r="A25" s="90" t="s">
        <v>331</v>
      </c>
      <c r="B25" s="147" t="s">
        <v>332</v>
      </c>
      <c r="C25" s="148">
        <f>C26</f>
        <v>0</v>
      </c>
      <c r="D25" s="160">
        <f>D26</f>
        <v>60</v>
      </c>
      <c r="E25" s="160">
        <f>E26</f>
        <v>40</v>
      </c>
      <c r="F25" s="160">
        <f>F26</f>
        <v>60</v>
      </c>
      <c r="G25" s="107">
        <f t="shared" si="4"/>
        <v>1</v>
      </c>
      <c r="H25">
        <v>60</v>
      </c>
    </row>
    <row r="26" spans="1:8" ht="21">
      <c r="A26" s="96" t="s">
        <v>333</v>
      </c>
      <c r="B26" s="145" t="s">
        <v>334</v>
      </c>
      <c r="C26" s="148">
        <f t="shared" ref="C26" si="14">SUM(C27:C29)</f>
        <v>0</v>
      </c>
      <c r="D26" s="160">
        <f>SUM(D27:D29)</f>
        <v>60</v>
      </c>
      <c r="E26" s="160">
        <f t="shared" ref="E26:F26" si="15">SUM(E27:E29)</f>
        <v>40</v>
      </c>
      <c r="F26" s="160">
        <f t="shared" si="15"/>
        <v>60</v>
      </c>
      <c r="G26" s="107">
        <f t="shared" si="4"/>
        <v>1</v>
      </c>
      <c r="H26">
        <v>60</v>
      </c>
    </row>
    <row r="27" spans="1:8" ht="22.5">
      <c r="A27" s="90" t="s">
        <v>335</v>
      </c>
      <c r="B27" s="147" t="s">
        <v>336</v>
      </c>
      <c r="C27" s="150">
        <v>0</v>
      </c>
      <c r="D27" s="161">
        <v>60</v>
      </c>
      <c r="E27" s="161">
        <v>40</v>
      </c>
      <c r="F27" s="161">
        <v>60</v>
      </c>
      <c r="G27" s="107">
        <f t="shared" si="4"/>
        <v>1</v>
      </c>
      <c r="H27">
        <v>60</v>
      </c>
    </row>
    <row r="28" spans="1:8" ht="45" hidden="1" outlineLevel="1">
      <c r="A28" s="90" t="s">
        <v>337</v>
      </c>
      <c r="B28" s="147" t="s">
        <v>338</v>
      </c>
      <c r="C28" s="150"/>
      <c r="D28" s="161"/>
      <c r="E28" s="161"/>
      <c r="F28" s="161"/>
      <c r="G28" s="107" t="e">
        <f t="shared" si="4"/>
        <v>#DIV/0!</v>
      </c>
    </row>
    <row r="29" spans="1:8" ht="45" hidden="1" outlineLevel="1">
      <c r="A29" s="90" t="s">
        <v>339</v>
      </c>
      <c r="B29" s="154" t="s">
        <v>340</v>
      </c>
      <c r="C29" s="150">
        <v>0</v>
      </c>
      <c r="D29" s="161">
        <v>0</v>
      </c>
      <c r="E29" s="161">
        <v>0</v>
      </c>
      <c r="F29" s="161">
        <v>0</v>
      </c>
      <c r="G29" s="107" t="e">
        <f t="shared" si="4"/>
        <v>#DIV/0!</v>
      </c>
      <c r="H29">
        <v>0</v>
      </c>
    </row>
    <row r="30" spans="1:8" ht="33.75" collapsed="1">
      <c r="A30" s="86" t="s">
        <v>341</v>
      </c>
      <c r="B30" s="149" t="s">
        <v>342</v>
      </c>
      <c r="C30" s="148">
        <f>SUM(C31:C32)</f>
        <v>70</v>
      </c>
      <c r="D30" s="160">
        <f>SUM(D31:D33)</f>
        <v>5023.18</v>
      </c>
      <c r="E30" s="160">
        <f t="shared" ref="E30:F30" si="16">SUM(E31:E33)</f>
        <v>1130.9205099999999</v>
      </c>
      <c r="F30" s="160">
        <f t="shared" si="16"/>
        <v>5022.4771000000001</v>
      </c>
      <c r="G30" s="107">
        <f t="shared" si="4"/>
        <v>0.99986006872140754</v>
      </c>
      <c r="H30">
        <v>5023.18</v>
      </c>
    </row>
    <row r="31" spans="1:8" ht="90">
      <c r="A31" s="86" t="s">
        <v>343</v>
      </c>
      <c r="B31" s="147" t="s">
        <v>344</v>
      </c>
      <c r="C31" s="150">
        <v>0</v>
      </c>
      <c r="D31" s="161">
        <v>4113.7</v>
      </c>
      <c r="E31" s="161">
        <v>1049.96534</v>
      </c>
      <c r="F31" s="161">
        <v>4113.0452100000002</v>
      </c>
      <c r="G31" s="107">
        <f t="shared" si="4"/>
        <v>0.99984082699273169</v>
      </c>
      <c r="H31">
        <v>4113.7</v>
      </c>
    </row>
    <row r="32" spans="1:8" ht="45" hidden="1" outlineLevel="1">
      <c r="A32" s="86" t="s">
        <v>345</v>
      </c>
      <c r="B32" s="147" t="s">
        <v>346</v>
      </c>
      <c r="C32" s="150">
        <v>70</v>
      </c>
      <c r="D32" s="161">
        <v>0</v>
      </c>
      <c r="E32" s="161">
        <v>0</v>
      </c>
      <c r="F32" s="161">
        <v>0</v>
      </c>
      <c r="G32" s="107" t="e">
        <f t="shared" si="4"/>
        <v>#DIV/0!</v>
      </c>
      <c r="H32">
        <v>0</v>
      </c>
    </row>
    <row r="33" spans="1:10" ht="45" collapsed="1">
      <c r="A33" s="86" t="s">
        <v>347</v>
      </c>
      <c r="B33" s="147" t="s">
        <v>348</v>
      </c>
      <c r="C33" s="150"/>
      <c r="D33" s="161">
        <v>909.48</v>
      </c>
      <c r="E33" s="161">
        <v>80.955169999999995</v>
      </c>
      <c r="F33" s="161">
        <v>909.43188999999995</v>
      </c>
      <c r="G33" s="107">
        <f t="shared" si="4"/>
        <v>0.99994710164049783</v>
      </c>
      <c r="H33">
        <v>909.48</v>
      </c>
    </row>
    <row r="34" spans="1:10" ht="22.5">
      <c r="A34" s="86"/>
      <c r="B34" s="147" t="s">
        <v>349</v>
      </c>
      <c r="C34" s="148">
        <f t="shared" ref="C34:F34" si="17">C35</f>
        <v>1</v>
      </c>
      <c r="D34" s="160">
        <f t="shared" si="17"/>
        <v>12.38</v>
      </c>
      <c r="E34" s="160">
        <f t="shared" si="17"/>
        <v>12.083</v>
      </c>
      <c r="F34" s="160">
        <f t="shared" si="17"/>
        <v>12.382999999999999</v>
      </c>
      <c r="G34" s="107">
        <f t="shared" si="4"/>
        <v>1.0002423263327946</v>
      </c>
      <c r="H34">
        <v>12.379999999999999</v>
      </c>
    </row>
    <row r="35" spans="1:10" ht="33.75">
      <c r="A35" s="86" t="s">
        <v>350</v>
      </c>
      <c r="B35" s="147" t="s">
        <v>351</v>
      </c>
      <c r="C35" s="151">
        <v>1</v>
      </c>
      <c r="D35" s="161">
        <v>12.38</v>
      </c>
      <c r="E35" s="161">
        <v>12.083</v>
      </c>
      <c r="F35" s="161">
        <v>12.382999999999999</v>
      </c>
      <c r="G35" s="107">
        <f t="shared" si="4"/>
        <v>1.0002423263327946</v>
      </c>
      <c r="H35">
        <v>12.379999999999999</v>
      </c>
    </row>
    <row r="36" spans="1:10" ht="15.75">
      <c r="A36" s="92" t="s">
        <v>352</v>
      </c>
      <c r="B36" s="145" t="s">
        <v>353</v>
      </c>
      <c r="C36" s="148">
        <f>C37</f>
        <v>0</v>
      </c>
      <c r="D36" s="160">
        <f>D37</f>
        <v>132.01</v>
      </c>
      <c r="E36" s="160">
        <f>E37</f>
        <v>78.162499999999994</v>
      </c>
      <c r="F36" s="160">
        <f>F37</f>
        <v>132.00801000000001</v>
      </c>
      <c r="G36" s="107">
        <f t="shared" si="4"/>
        <v>0.99998492538444073</v>
      </c>
      <c r="H36">
        <v>132.01</v>
      </c>
    </row>
    <row r="37" spans="1:10" ht="15.75">
      <c r="A37" s="92" t="s">
        <v>354</v>
      </c>
      <c r="B37" s="145" t="s">
        <v>355</v>
      </c>
      <c r="C37" s="148">
        <f>C38+C39+C40</f>
        <v>0</v>
      </c>
      <c r="D37" s="160">
        <f>D38+D39+D40</f>
        <v>132.01</v>
      </c>
      <c r="E37" s="160">
        <f>E38+E39+E40</f>
        <v>78.162499999999994</v>
      </c>
      <c r="F37" s="160">
        <f>F38+F39+F40</f>
        <v>132.00801000000001</v>
      </c>
      <c r="G37" s="107">
        <f t="shared" si="4"/>
        <v>0.99998492538444073</v>
      </c>
      <c r="H37">
        <v>132.01</v>
      </c>
    </row>
    <row r="38" spans="1:10" ht="22.5" hidden="1" outlineLevel="1">
      <c r="A38" s="86" t="s">
        <v>356</v>
      </c>
      <c r="B38" s="147" t="s">
        <v>357</v>
      </c>
      <c r="C38" s="150"/>
      <c r="D38" s="161">
        <v>0</v>
      </c>
      <c r="E38" s="161"/>
      <c r="F38" s="161"/>
      <c r="G38" s="107" t="e">
        <f t="shared" si="4"/>
        <v>#DIV/0!</v>
      </c>
    </row>
    <row r="39" spans="1:10" ht="22.5" collapsed="1">
      <c r="A39" s="86" t="s">
        <v>358</v>
      </c>
      <c r="B39" s="147" t="s">
        <v>359</v>
      </c>
      <c r="C39" s="151">
        <v>0</v>
      </c>
      <c r="D39" s="161">
        <v>132.01</v>
      </c>
      <c r="E39" s="161">
        <v>78.162499999999994</v>
      </c>
      <c r="F39" s="161">
        <f>132.00801</f>
        <v>132.00801000000001</v>
      </c>
      <c r="G39" s="107">
        <f t="shared" si="4"/>
        <v>0.99998492538444073</v>
      </c>
      <c r="H39">
        <v>132.01</v>
      </c>
    </row>
    <row r="40" spans="1:10" ht="22.5" hidden="1" outlineLevel="1">
      <c r="A40" s="86" t="s">
        <v>360</v>
      </c>
      <c r="B40" s="147" t="s">
        <v>359</v>
      </c>
      <c r="C40" s="151">
        <v>0</v>
      </c>
      <c r="D40" s="161">
        <v>0</v>
      </c>
      <c r="E40" s="161">
        <v>0</v>
      </c>
      <c r="F40" s="161">
        <v>0</v>
      </c>
      <c r="G40" s="107" t="e">
        <f t="shared" si="4"/>
        <v>#DIV/0!</v>
      </c>
      <c r="H40">
        <v>0</v>
      </c>
    </row>
    <row r="41" spans="1:10" ht="15.75" collapsed="1">
      <c r="A41" s="92" t="s">
        <v>361</v>
      </c>
      <c r="B41" s="145" t="s">
        <v>362</v>
      </c>
      <c r="C41" s="148">
        <f t="shared" ref="C41:F41" si="18">C42</f>
        <v>11010.06</v>
      </c>
      <c r="D41" s="160">
        <f t="shared" si="18"/>
        <v>18534.995270000003</v>
      </c>
      <c r="E41" s="160">
        <f t="shared" si="18"/>
        <v>21006.409500000002</v>
      </c>
      <c r="F41" s="160">
        <f t="shared" si="18"/>
        <v>18165.691989999999</v>
      </c>
      <c r="G41" s="107">
        <f t="shared" si="4"/>
        <v>0.98007535072869734</v>
      </c>
      <c r="H41">
        <v>18101.775269999998</v>
      </c>
      <c r="I41" s="171">
        <f>D41-H41</f>
        <v>433.2200000000048</v>
      </c>
    </row>
    <row r="42" spans="1:10" ht="31.5">
      <c r="A42" s="92" t="s">
        <v>363</v>
      </c>
      <c r="B42" s="145" t="s">
        <v>364</v>
      </c>
      <c r="C42" s="155">
        <f>C43+C46+C50+C53+C56+C58</f>
        <v>11010.06</v>
      </c>
      <c r="D42" s="162">
        <f t="shared" ref="D42:E42" si="19">D43+D46+D50+D53</f>
        <v>18534.995270000003</v>
      </c>
      <c r="E42" s="162">
        <f t="shared" si="19"/>
        <v>21006.409500000002</v>
      </c>
      <c r="F42" s="162">
        <f>F43+F46+F50+F53</f>
        <v>18165.691989999999</v>
      </c>
      <c r="G42" s="107">
        <f t="shared" si="4"/>
        <v>0.98007535072869734</v>
      </c>
      <c r="H42">
        <v>18101.775269999998</v>
      </c>
    </row>
    <row r="43" spans="1:10" ht="33">
      <c r="A43" s="92" t="s">
        <v>365</v>
      </c>
      <c r="B43" s="145" t="s">
        <v>392</v>
      </c>
      <c r="C43" s="148">
        <f t="shared" ref="C43:E43" si="20">SUM(C44:C45)</f>
        <v>8412.4</v>
      </c>
      <c r="D43" s="160">
        <f>SUM(D44:D45)</f>
        <v>8412.4</v>
      </c>
      <c r="E43" s="160">
        <f t="shared" si="20"/>
        <v>7485.7349999999997</v>
      </c>
      <c r="F43" s="160">
        <f t="shared" ref="F43" si="21">SUM(F44:F45)</f>
        <v>8412.4</v>
      </c>
      <c r="G43" s="107">
        <f t="shared" si="4"/>
        <v>1</v>
      </c>
      <c r="H43" s="95">
        <v>8412.4</v>
      </c>
    </row>
    <row r="44" spans="1:10" ht="33.75">
      <c r="A44" s="86" t="s">
        <v>137</v>
      </c>
      <c r="B44" s="147" t="s">
        <v>138</v>
      </c>
      <c r="C44" s="153">
        <v>7842.9</v>
      </c>
      <c r="D44" s="161">
        <v>7842.9</v>
      </c>
      <c r="E44" s="161">
        <f>915.005+915.005+2745.015+1568.58+915.005</f>
        <v>7058.61</v>
      </c>
      <c r="F44" s="161">
        <v>7842.9</v>
      </c>
      <c r="G44" s="107">
        <f t="shared" si="4"/>
        <v>1</v>
      </c>
      <c r="H44">
        <v>7842.9</v>
      </c>
    </row>
    <row r="45" spans="1:10" ht="33.75">
      <c r="A45" s="86" t="s">
        <v>137</v>
      </c>
      <c r="B45" s="147" t="s">
        <v>139</v>
      </c>
      <c r="C45" s="153">
        <v>569.5</v>
      </c>
      <c r="D45" s="161">
        <v>569.5</v>
      </c>
      <c r="E45" s="161">
        <f>142.375+142.375+47.459+47.459+47.457</f>
        <v>427.125</v>
      </c>
      <c r="F45" s="161">
        <v>569.5</v>
      </c>
      <c r="G45" s="107">
        <f t="shared" si="4"/>
        <v>1</v>
      </c>
      <c r="H45">
        <v>569.5</v>
      </c>
    </row>
    <row r="46" spans="1:10" ht="31.5">
      <c r="A46" s="87" t="s">
        <v>366</v>
      </c>
      <c r="B46" s="145" t="s">
        <v>367</v>
      </c>
      <c r="C46" s="148">
        <f>SUM(C48:C49)</f>
        <v>2090</v>
      </c>
      <c r="D46" s="160">
        <f>SUM(D47:D49)</f>
        <v>5930.14</v>
      </c>
      <c r="E46" s="160">
        <f t="shared" ref="E46" si="22">SUM(E47:F49)</f>
        <v>11140.68</v>
      </c>
      <c r="F46" s="160">
        <f>SUM(F47:F49)</f>
        <v>5930.1399999999994</v>
      </c>
      <c r="G46" s="107">
        <f t="shared" si="4"/>
        <v>0.99999999999999989</v>
      </c>
      <c r="H46">
        <v>5307.4400000000005</v>
      </c>
      <c r="J46" s="170"/>
    </row>
    <row r="47" spans="1:10" ht="56.25">
      <c r="A47" s="86" t="s">
        <v>140</v>
      </c>
      <c r="B47" s="147" t="s">
        <v>368</v>
      </c>
      <c r="C47" s="150">
        <v>0</v>
      </c>
      <c r="D47" s="161">
        <v>800</v>
      </c>
      <c r="E47" s="161">
        <v>949.5</v>
      </c>
      <c r="F47" s="161">
        <v>800</v>
      </c>
      <c r="G47" s="107">
        <f t="shared" si="4"/>
        <v>1</v>
      </c>
      <c r="H47">
        <v>1749.5</v>
      </c>
    </row>
    <row r="48" spans="1:10" ht="56.25">
      <c r="A48" s="86" t="s">
        <v>140</v>
      </c>
      <c r="B48" s="147" t="s">
        <v>368</v>
      </c>
      <c r="C48" s="150">
        <v>0</v>
      </c>
      <c r="D48" s="161">
        <f>949.5</f>
        <v>949.5</v>
      </c>
      <c r="E48" s="161">
        <v>949.5</v>
      </c>
      <c r="F48" s="161">
        <v>949.5</v>
      </c>
      <c r="G48" s="107">
        <f t="shared" si="4"/>
        <v>1</v>
      </c>
    </row>
    <row r="49" spans="1:16" ht="15.75">
      <c r="A49" s="86" t="s">
        <v>141</v>
      </c>
      <c r="B49" s="147" t="s">
        <v>369</v>
      </c>
      <c r="C49" s="150">
        <v>2090</v>
      </c>
      <c r="D49" s="161">
        <f>2090+482.34+985.6+622.7</f>
        <v>4180.6400000000003</v>
      </c>
      <c r="E49" s="161">
        <f>739.2+2090+482.34</f>
        <v>3311.54</v>
      </c>
      <c r="F49" s="161">
        <f>985.6+2712.7+482.34</f>
        <v>4180.6399999999994</v>
      </c>
      <c r="G49" s="107">
        <f t="shared" si="4"/>
        <v>0.99999999999999978</v>
      </c>
      <c r="H49">
        <v>3557.94</v>
      </c>
      <c r="I49" s="171">
        <f>D49-H49</f>
        <v>622.70000000000027</v>
      </c>
    </row>
    <row r="50" spans="1:16" ht="31.5">
      <c r="A50" s="86" t="s">
        <v>370</v>
      </c>
      <c r="B50" s="145" t="s">
        <v>371</v>
      </c>
      <c r="C50" s="148">
        <f t="shared" ref="C50:E50" si="23">SUM(C51:C52)</f>
        <v>455.5</v>
      </c>
      <c r="D50" s="160">
        <f t="shared" si="23"/>
        <v>298.52999999999997</v>
      </c>
      <c r="E50" s="160">
        <f t="shared" si="23"/>
        <v>298.52999999999997</v>
      </c>
      <c r="F50" s="160">
        <f t="shared" ref="F50" si="24">SUM(F51:F52)</f>
        <v>298.52999999999997</v>
      </c>
      <c r="G50" s="107">
        <f t="shared" si="4"/>
        <v>1</v>
      </c>
      <c r="H50">
        <v>276.51</v>
      </c>
    </row>
    <row r="51" spans="1:16" ht="45">
      <c r="A51" s="86" t="s">
        <v>142</v>
      </c>
      <c r="B51" s="147" t="s">
        <v>143</v>
      </c>
      <c r="C51" s="153">
        <v>454.5</v>
      </c>
      <c r="D51" s="161">
        <f>297.53</f>
        <v>297.52999999999997</v>
      </c>
      <c r="E51" s="161">
        <f t="shared" ref="E51:F51" si="25">297.53</f>
        <v>297.52999999999997</v>
      </c>
      <c r="F51" s="161">
        <f t="shared" si="25"/>
        <v>297.52999999999997</v>
      </c>
      <c r="G51" s="107">
        <f t="shared" si="4"/>
        <v>1</v>
      </c>
      <c r="H51">
        <v>275.51</v>
      </c>
      <c r="I51" s="171">
        <f>D51-H51</f>
        <v>22.019999999999982</v>
      </c>
    </row>
    <row r="52" spans="1:16" ht="33.75">
      <c r="A52" s="86" t="s">
        <v>144</v>
      </c>
      <c r="B52" s="147" t="s">
        <v>372</v>
      </c>
      <c r="C52" s="153">
        <v>1</v>
      </c>
      <c r="D52" s="161">
        <v>1</v>
      </c>
      <c r="E52" s="161">
        <v>1</v>
      </c>
      <c r="F52" s="161">
        <v>1</v>
      </c>
      <c r="G52" s="107">
        <f t="shared" si="4"/>
        <v>1</v>
      </c>
      <c r="H52">
        <v>1</v>
      </c>
    </row>
    <row r="53" spans="1:16" ht="15.75">
      <c r="A53" s="92" t="s">
        <v>373</v>
      </c>
      <c r="B53" s="145" t="s">
        <v>374</v>
      </c>
      <c r="C53" s="148">
        <f t="shared" ref="C53:E53" si="26">SUM(C54:C55)</f>
        <v>52.16</v>
      </c>
      <c r="D53" s="160">
        <f t="shared" si="26"/>
        <v>3893.9252700000002</v>
      </c>
      <c r="E53" s="160">
        <f t="shared" si="26"/>
        <v>2081.4645</v>
      </c>
      <c r="F53" s="160">
        <f t="shared" ref="F53" si="27">SUM(F54:F55)</f>
        <v>3524.6219900000001</v>
      </c>
      <c r="G53" s="107">
        <f t="shared" si="4"/>
        <v>0.90515912494643225</v>
      </c>
      <c r="H53">
        <v>4105.4252699999997</v>
      </c>
    </row>
    <row r="54" spans="1:16" ht="67.5">
      <c r="A54" s="86" t="s">
        <v>145</v>
      </c>
      <c r="B54" s="147" t="s">
        <v>146</v>
      </c>
      <c r="C54" s="150">
        <v>6.5</v>
      </c>
      <c r="D54" s="161">
        <v>6.5</v>
      </c>
      <c r="E54" s="161">
        <v>6.5</v>
      </c>
      <c r="F54" s="161">
        <v>6.5</v>
      </c>
      <c r="G54" s="107">
        <f t="shared" si="4"/>
        <v>1</v>
      </c>
      <c r="H54">
        <v>6.5</v>
      </c>
    </row>
    <row r="55" spans="1:16" ht="26.25" customHeight="1">
      <c r="A55" s="86" t="s">
        <v>147</v>
      </c>
      <c r="B55" s="147" t="s">
        <v>375</v>
      </c>
      <c r="C55" s="153">
        <v>45.66</v>
      </c>
      <c r="D55" s="161">
        <f>3280+45.42527+200+112+250</f>
        <v>3887.4252700000002</v>
      </c>
      <c r="E55" s="163">
        <f>1467.53923+45.42527+200+112+250</f>
        <v>2074.9645</v>
      </c>
      <c r="F55" s="163">
        <f>2910.69672+45.42527+200+112+250</f>
        <v>3518.1219900000001</v>
      </c>
      <c r="G55" s="107">
        <f t="shared" si="4"/>
        <v>0.90500054551530962</v>
      </c>
      <c r="H55">
        <v>4098.9252699999997</v>
      </c>
      <c r="I55" s="171">
        <f>D55-H55</f>
        <v>-211.49999999999955</v>
      </c>
      <c r="L55" s="171"/>
      <c r="M55" s="171"/>
    </row>
    <row r="56" spans="1:16" ht="42">
      <c r="A56" s="92" t="s">
        <v>376</v>
      </c>
      <c r="B56" s="145" t="s">
        <v>377</v>
      </c>
      <c r="C56" s="148">
        <f t="shared" ref="C56:F56" si="28">C57</f>
        <v>0</v>
      </c>
      <c r="D56" s="160">
        <f t="shared" si="28"/>
        <v>0</v>
      </c>
      <c r="E56" s="160">
        <f t="shared" si="28"/>
        <v>429</v>
      </c>
      <c r="F56" s="160">
        <f t="shared" si="28"/>
        <v>429</v>
      </c>
      <c r="G56" s="107"/>
      <c r="H56" s="91">
        <v>0</v>
      </c>
    </row>
    <row r="57" spans="1:16" ht="56.25">
      <c r="A57" s="86" t="s">
        <v>378</v>
      </c>
      <c r="B57" s="147" t="s">
        <v>379</v>
      </c>
      <c r="C57" s="151"/>
      <c r="D57" s="161">
        <f>429-429</f>
        <v>0</v>
      </c>
      <c r="E57" s="161">
        <v>429</v>
      </c>
      <c r="F57" s="161">
        <v>429</v>
      </c>
      <c r="G57" s="107"/>
      <c r="H57">
        <v>0</v>
      </c>
    </row>
    <row r="58" spans="1:16" ht="42">
      <c r="A58" s="92" t="s">
        <v>380</v>
      </c>
      <c r="B58" s="145" t="s">
        <v>381</v>
      </c>
      <c r="C58" s="148">
        <f>C59</f>
        <v>0</v>
      </c>
      <c r="D58" s="160">
        <f>D59</f>
        <v>0</v>
      </c>
      <c r="E58" s="160">
        <f>E59</f>
        <v>-138.76</v>
      </c>
      <c r="F58" s="160">
        <f>F59</f>
        <v>-138.76</v>
      </c>
      <c r="G58" s="107"/>
      <c r="H58">
        <v>0</v>
      </c>
      <c r="O58" s="170"/>
    </row>
    <row r="59" spans="1:16" ht="45">
      <c r="A59" s="86" t="s">
        <v>148</v>
      </c>
      <c r="B59" s="147" t="s">
        <v>382</v>
      </c>
      <c r="C59" s="151"/>
      <c r="D59" s="161">
        <f>775-775</f>
        <v>0</v>
      </c>
      <c r="E59" s="161">
        <v>-138.76</v>
      </c>
      <c r="F59" s="161">
        <v>-138.76</v>
      </c>
      <c r="G59" s="107"/>
      <c r="H59">
        <v>0</v>
      </c>
    </row>
    <row r="60" spans="1:16" ht="15.75">
      <c r="A60" s="176" t="s">
        <v>383</v>
      </c>
      <c r="B60" s="176"/>
      <c r="C60" s="93">
        <f>C8+C10+C12+C16+C19+C25+C30+C34+C36+C41</f>
        <v>36207.99</v>
      </c>
      <c r="D60" s="157">
        <f t="shared" ref="D60:E60" si="29">D8+D10+D12+D16+D19+D25+D30+D34+D36+D41+D56+D58</f>
        <v>48665.705270000006</v>
      </c>
      <c r="E60" s="157">
        <f t="shared" si="29"/>
        <v>41787.308379999995</v>
      </c>
      <c r="F60" s="157">
        <f>F8+F10+F12+F16+F19+F25+F30+F34+F36+F41+F56+F58</f>
        <v>48874.7088</v>
      </c>
      <c r="G60" s="110">
        <f>F60/D60</f>
        <v>1.0042946779223774</v>
      </c>
      <c r="H60">
        <v>48232.485270000005</v>
      </c>
      <c r="I60" s="170">
        <f>D60-H60</f>
        <v>433.22000000000116</v>
      </c>
    </row>
    <row r="61" spans="1:16">
      <c r="I61" s="94"/>
      <c r="O61" s="170"/>
      <c r="P61" s="171"/>
    </row>
    <row r="62" spans="1:16">
      <c r="E62" s="109"/>
      <c r="F62" s="109"/>
    </row>
    <row r="63" spans="1:16">
      <c r="D63" s="164"/>
      <c r="F63" s="164"/>
    </row>
    <row r="64" spans="1:16">
      <c r="D64" s="99"/>
      <c r="E64" s="99"/>
      <c r="F64" s="99"/>
    </row>
  </sheetData>
  <mergeCells count="4">
    <mergeCell ref="A60:B60"/>
    <mergeCell ref="A4:G4"/>
    <mergeCell ref="F2:G2"/>
    <mergeCell ref="F1:G1"/>
  </mergeCells>
  <pageMargins left="0.9055118110236221" right="0.31496062992125984" top="0.74803149606299213" bottom="0.74803149606299213" header="0.31496062992125984" footer="0.31496062992125984"/>
  <pageSetup paperSize="9" scale="81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70" zoomScaleNormal="100" zoomScaleSheetLayoutView="70" workbookViewId="0">
      <selection activeCell="D2" sqref="D2:G2"/>
    </sheetView>
  </sheetViews>
  <sheetFormatPr defaultRowHeight="15" outlineLevelRow="1"/>
  <cols>
    <col min="1" max="1" width="38.85546875" style="4" customWidth="1"/>
    <col min="2" max="2" width="8" style="4" customWidth="1"/>
    <col min="3" max="3" width="10.42578125" style="4" customWidth="1"/>
    <col min="4" max="4" width="14.28515625" style="4" customWidth="1"/>
    <col min="5" max="6" width="12" style="4" hidden="1" customWidth="1"/>
    <col min="7" max="7" width="15.7109375" style="19" customWidth="1" collapsed="1"/>
    <col min="8" max="8" width="9.140625" style="4" hidden="1" customWidth="1"/>
    <col min="9" max="9" width="10.42578125" customWidth="1"/>
    <col min="10" max="10" width="15.140625" bestFit="1" customWidth="1"/>
    <col min="11" max="11" width="10.7109375" bestFit="1" customWidth="1"/>
    <col min="250" max="250" width="38.85546875" customWidth="1"/>
    <col min="251" max="251" width="8" customWidth="1"/>
    <col min="252" max="252" width="10.42578125" customWidth="1"/>
    <col min="253" max="253" width="14.28515625" customWidth="1"/>
    <col min="254" max="255" width="0" hidden="1" customWidth="1"/>
    <col min="256" max="256" width="15.7109375" customWidth="1"/>
    <col min="257" max="257" width="9.140625" customWidth="1"/>
    <col min="258" max="258" width="7.140625" customWidth="1"/>
    <col min="259" max="259" width="5" customWidth="1"/>
    <col min="260" max="260" width="5.42578125" customWidth="1"/>
    <col min="261" max="261" width="7" customWidth="1"/>
    <col min="262" max="262" width="7.85546875" customWidth="1"/>
    <col min="263" max="263" width="7.42578125" customWidth="1"/>
    <col min="264" max="264" width="7" customWidth="1"/>
    <col min="506" max="506" width="38.85546875" customWidth="1"/>
    <col min="507" max="507" width="8" customWidth="1"/>
    <col min="508" max="508" width="10.42578125" customWidth="1"/>
    <col min="509" max="509" width="14.28515625" customWidth="1"/>
    <col min="510" max="511" width="0" hidden="1" customWidth="1"/>
    <col min="512" max="512" width="15.7109375" customWidth="1"/>
    <col min="513" max="513" width="9.140625" customWidth="1"/>
    <col min="514" max="514" width="7.140625" customWidth="1"/>
    <col min="515" max="515" width="5" customWidth="1"/>
    <col min="516" max="516" width="5.42578125" customWidth="1"/>
    <col min="517" max="517" width="7" customWidth="1"/>
    <col min="518" max="518" width="7.85546875" customWidth="1"/>
    <col min="519" max="519" width="7.42578125" customWidth="1"/>
    <col min="520" max="520" width="7" customWidth="1"/>
    <col min="762" max="762" width="38.85546875" customWidth="1"/>
    <col min="763" max="763" width="8" customWidth="1"/>
    <col min="764" max="764" width="10.42578125" customWidth="1"/>
    <col min="765" max="765" width="14.28515625" customWidth="1"/>
    <col min="766" max="767" width="0" hidden="1" customWidth="1"/>
    <col min="768" max="768" width="15.7109375" customWidth="1"/>
    <col min="769" max="769" width="9.140625" customWidth="1"/>
    <col min="770" max="770" width="7.140625" customWidth="1"/>
    <col min="771" max="771" width="5" customWidth="1"/>
    <col min="772" max="772" width="5.42578125" customWidth="1"/>
    <col min="773" max="773" width="7" customWidth="1"/>
    <col min="774" max="774" width="7.85546875" customWidth="1"/>
    <col min="775" max="775" width="7.42578125" customWidth="1"/>
    <col min="776" max="776" width="7" customWidth="1"/>
    <col min="1018" max="1018" width="38.85546875" customWidth="1"/>
    <col min="1019" max="1019" width="8" customWidth="1"/>
    <col min="1020" max="1020" width="10.42578125" customWidth="1"/>
    <col min="1021" max="1021" width="14.28515625" customWidth="1"/>
    <col min="1022" max="1023" width="0" hidden="1" customWidth="1"/>
    <col min="1024" max="1024" width="15.7109375" customWidth="1"/>
    <col min="1025" max="1025" width="9.140625" customWidth="1"/>
    <col min="1026" max="1026" width="7.140625" customWidth="1"/>
    <col min="1027" max="1027" width="5" customWidth="1"/>
    <col min="1028" max="1028" width="5.42578125" customWidth="1"/>
    <col min="1029" max="1029" width="7" customWidth="1"/>
    <col min="1030" max="1030" width="7.85546875" customWidth="1"/>
    <col min="1031" max="1031" width="7.42578125" customWidth="1"/>
    <col min="1032" max="1032" width="7" customWidth="1"/>
    <col min="1274" max="1274" width="38.85546875" customWidth="1"/>
    <col min="1275" max="1275" width="8" customWidth="1"/>
    <col min="1276" max="1276" width="10.42578125" customWidth="1"/>
    <col min="1277" max="1277" width="14.28515625" customWidth="1"/>
    <col min="1278" max="1279" width="0" hidden="1" customWidth="1"/>
    <col min="1280" max="1280" width="15.7109375" customWidth="1"/>
    <col min="1281" max="1281" width="9.140625" customWidth="1"/>
    <col min="1282" max="1282" width="7.140625" customWidth="1"/>
    <col min="1283" max="1283" width="5" customWidth="1"/>
    <col min="1284" max="1284" width="5.42578125" customWidth="1"/>
    <col min="1285" max="1285" width="7" customWidth="1"/>
    <col min="1286" max="1286" width="7.85546875" customWidth="1"/>
    <col min="1287" max="1287" width="7.42578125" customWidth="1"/>
    <col min="1288" max="1288" width="7" customWidth="1"/>
    <col min="1530" max="1530" width="38.85546875" customWidth="1"/>
    <col min="1531" max="1531" width="8" customWidth="1"/>
    <col min="1532" max="1532" width="10.42578125" customWidth="1"/>
    <col min="1533" max="1533" width="14.28515625" customWidth="1"/>
    <col min="1534" max="1535" width="0" hidden="1" customWidth="1"/>
    <col min="1536" max="1536" width="15.7109375" customWidth="1"/>
    <col min="1537" max="1537" width="9.140625" customWidth="1"/>
    <col min="1538" max="1538" width="7.140625" customWidth="1"/>
    <col min="1539" max="1539" width="5" customWidth="1"/>
    <col min="1540" max="1540" width="5.42578125" customWidth="1"/>
    <col min="1541" max="1541" width="7" customWidth="1"/>
    <col min="1542" max="1542" width="7.85546875" customWidth="1"/>
    <col min="1543" max="1543" width="7.42578125" customWidth="1"/>
    <col min="1544" max="1544" width="7" customWidth="1"/>
    <col min="1786" max="1786" width="38.85546875" customWidth="1"/>
    <col min="1787" max="1787" width="8" customWidth="1"/>
    <col min="1788" max="1788" width="10.42578125" customWidth="1"/>
    <col min="1789" max="1789" width="14.28515625" customWidth="1"/>
    <col min="1790" max="1791" width="0" hidden="1" customWidth="1"/>
    <col min="1792" max="1792" width="15.7109375" customWidth="1"/>
    <col min="1793" max="1793" width="9.140625" customWidth="1"/>
    <col min="1794" max="1794" width="7.140625" customWidth="1"/>
    <col min="1795" max="1795" width="5" customWidth="1"/>
    <col min="1796" max="1796" width="5.42578125" customWidth="1"/>
    <col min="1797" max="1797" width="7" customWidth="1"/>
    <col min="1798" max="1798" width="7.85546875" customWidth="1"/>
    <col min="1799" max="1799" width="7.42578125" customWidth="1"/>
    <col min="1800" max="1800" width="7" customWidth="1"/>
    <col min="2042" max="2042" width="38.85546875" customWidth="1"/>
    <col min="2043" max="2043" width="8" customWidth="1"/>
    <col min="2044" max="2044" width="10.42578125" customWidth="1"/>
    <col min="2045" max="2045" width="14.28515625" customWidth="1"/>
    <col min="2046" max="2047" width="0" hidden="1" customWidth="1"/>
    <col min="2048" max="2048" width="15.7109375" customWidth="1"/>
    <col min="2049" max="2049" width="9.140625" customWidth="1"/>
    <col min="2050" max="2050" width="7.140625" customWidth="1"/>
    <col min="2051" max="2051" width="5" customWidth="1"/>
    <col min="2052" max="2052" width="5.42578125" customWidth="1"/>
    <col min="2053" max="2053" width="7" customWidth="1"/>
    <col min="2054" max="2054" width="7.85546875" customWidth="1"/>
    <col min="2055" max="2055" width="7.42578125" customWidth="1"/>
    <col min="2056" max="2056" width="7" customWidth="1"/>
    <col min="2298" max="2298" width="38.85546875" customWidth="1"/>
    <col min="2299" max="2299" width="8" customWidth="1"/>
    <col min="2300" max="2300" width="10.42578125" customWidth="1"/>
    <col min="2301" max="2301" width="14.28515625" customWidth="1"/>
    <col min="2302" max="2303" width="0" hidden="1" customWidth="1"/>
    <col min="2304" max="2304" width="15.7109375" customWidth="1"/>
    <col min="2305" max="2305" width="9.140625" customWidth="1"/>
    <col min="2306" max="2306" width="7.140625" customWidth="1"/>
    <col min="2307" max="2307" width="5" customWidth="1"/>
    <col min="2308" max="2308" width="5.42578125" customWidth="1"/>
    <col min="2309" max="2309" width="7" customWidth="1"/>
    <col min="2310" max="2310" width="7.85546875" customWidth="1"/>
    <col min="2311" max="2311" width="7.42578125" customWidth="1"/>
    <col min="2312" max="2312" width="7" customWidth="1"/>
    <col min="2554" max="2554" width="38.85546875" customWidth="1"/>
    <col min="2555" max="2555" width="8" customWidth="1"/>
    <col min="2556" max="2556" width="10.42578125" customWidth="1"/>
    <col min="2557" max="2557" width="14.28515625" customWidth="1"/>
    <col min="2558" max="2559" width="0" hidden="1" customWidth="1"/>
    <col min="2560" max="2560" width="15.7109375" customWidth="1"/>
    <col min="2561" max="2561" width="9.140625" customWidth="1"/>
    <col min="2562" max="2562" width="7.140625" customWidth="1"/>
    <col min="2563" max="2563" width="5" customWidth="1"/>
    <col min="2564" max="2564" width="5.42578125" customWidth="1"/>
    <col min="2565" max="2565" width="7" customWidth="1"/>
    <col min="2566" max="2566" width="7.85546875" customWidth="1"/>
    <col min="2567" max="2567" width="7.42578125" customWidth="1"/>
    <col min="2568" max="2568" width="7" customWidth="1"/>
    <col min="2810" max="2810" width="38.85546875" customWidth="1"/>
    <col min="2811" max="2811" width="8" customWidth="1"/>
    <col min="2812" max="2812" width="10.42578125" customWidth="1"/>
    <col min="2813" max="2813" width="14.28515625" customWidth="1"/>
    <col min="2814" max="2815" width="0" hidden="1" customWidth="1"/>
    <col min="2816" max="2816" width="15.7109375" customWidth="1"/>
    <col min="2817" max="2817" width="9.140625" customWidth="1"/>
    <col min="2818" max="2818" width="7.140625" customWidth="1"/>
    <col min="2819" max="2819" width="5" customWidth="1"/>
    <col min="2820" max="2820" width="5.42578125" customWidth="1"/>
    <col min="2821" max="2821" width="7" customWidth="1"/>
    <col min="2822" max="2822" width="7.85546875" customWidth="1"/>
    <col min="2823" max="2823" width="7.42578125" customWidth="1"/>
    <col min="2824" max="2824" width="7" customWidth="1"/>
    <col min="3066" max="3066" width="38.85546875" customWidth="1"/>
    <col min="3067" max="3067" width="8" customWidth="1"/>
    <col min="3068" max="3068" width="10.42578125" customWidth="1"/>
    <col min="3069" max="3069" width="14.28515625" customWidth="1"/>
    <col min="3070" max="3071" width="0" hidden="1" customWidth="1"/>
    <col min="3072" max="3072" width="15.7109375" customWidth="1"/>
    <col min="3073" max="3073" width="9.140625" customWidth="1"/>
    <col min="3074" max="3074" width="7.140625" customWidth="1"/>
    <col min="3075" max="3075" width="5" customWidth="1"/>
    <col min="3076" max="3076" width="5.42578125" customWidth="1"/>
    <col min="3077" max="3077" width="7" customWidth="1"/>
    <col min="3078" max="3078" width="7.85546875" customWidth="1"/>
    <col min="3079" max="3079" width="7.42578125" customWidth="1"/>
    <col min="3080" max="3080" width="7" customWidth="1"/>
    <col min="3322" max="3322" width="38.85546875" customWidth="1"/>
    <col min="3323" max="3323" width="8" customWidth="1"/>
    <col min="3324" max="3324" width="10.42578125" customWidth="1"/>
    <col min="3325" max="3325" width="14.28515625" customWidth="1"/>
    <col min="3326" max="3327" width="0" hidden="1" customWidth="1"/>
    <col min="3328" max="3328" width="15.7109375" customWidth="1"/>
    <col min="3329" max="3329" width="9.140625" customWidth="1"/>
    <col min="3330" max="3330" width="7.140625" customWidth="1"/>
    <col min="3331" max="3331" width="5" customWidth="1"/>
    <col min="3332" max="3332" width="5.42578125" customWidth="1"/>
    <col min="3333" max="3333" width="7" customWidth="1"/>
    <col min="3334" max="3334" width="7.85546875" customWidth="1"/>
    <col min="3335" max="3335" width="7.42578125" customWidth="1"/>
    <col min="3336" max="3336" width="7" customWidth="1"/>
    <col min="3578" max="3578" width="38.85546875" customWidth="1"/>
    <col min="3579" max="3579" width="8" customWidth="1"/>
    <col min="3580" max="3580" width="10.42578125" customWidth="1"/>
    <col min="3581" max="3581" width="14.28515625" customWidth="1"/>
    <col min="3582" max="3583" width="0" hidden="1" customWidth="1"/>
    <col min="3584" max="3584" width="15.7109375" customWidth="1"/>
    <col min="3585" max="3585" width="9.140625" customWidth="1"/>
    <col min="3586" max="3586" width="7.140625" customWidth="1"/>
    <col min="3587" max="3587" width="5" customWidth="1"/>
    <col min="3588" max="3588" width="5.42578125" customWidth="1"/>
    <col min="3589" max="3589" width="7" customWidth="1"/>
    <col min="3590" max="3590" width="7.85546875" customWidth="1"/>
    <col min="3591" max="3591" width="7.42578125" customWidth="1"/>
    <col min="3592" max="3592" width="7" customWidth="1"/>
    <col min="3834" max="3834" width="38.85546875" customWidth="1"/>
    <col min="3835" max="3835" width="8" customWidth="1"/>
    <col min="3836" max="3836" width="10.42578125" customWidth="1"/>
    <col min="3837" max="3837" width="14.28515625" customWidth="1"/>
    <col min="3838" max="3839" width="0" hidden="1" customWidth="1"/>
    <col min="3840" max="3840" width="15.7109375" customWidth="1"/>
    <col min="3841" max="3841" width="9.140625" customWidth="1"/>
    <col min="3842" max="3842" width="7.140625" customWidth="1"/>
    <col min="3843" max="3843" width="5" customWidth="1"/>
    <col min="3844" max="3844" width="5.42578125" customWidth="1"/>
    <col min="3845" max="3845" width="7" customWidth="1"/>
    <col min="3846" max="3846" width="7.85546875" customWidth="1"/>
    <col min="3847" max="3847" width="7.42578125" customWidth="1"/>
    <col min="3848" max="3848" width="7" customWidth="1"/>
    <col min="4090" max="4090" width="38.85546875" customWidth="1"/>
    <col min="4091" max="4091" width="8" customWidth="1"/>
    <col min="4092" max="4092" width="10.42578125" customWidth="1"/>
    <col min="4093" max="4093" width="14.28515625" customWidth="1"/>
    <col min="4094" max="4095" width="0" hidden="1" customWidth="1"/>
    <col min="4096" max="4096" width="15.7109375" customWidth="1"/>
    <col min="4097" max="4097" width="9.140625" customWidth="1"/>
    <col min="4098" max="4098" width="7.140625" customWidth="1"/>
    <col min="4099" max="4099" width="5" customWidth="1"/>
    <col min="4100" max="4100" width="5.42578125" customWidth="1"/>
    <col min="4101" max="4101" width="7" customWidth="1"/>
    <col min="4102" max="4102" width="7.85546875" customWidth="1"/>
    <col min="4103" max="4103" width="7.42578125" customWidth="1"/>
    <col min="4104" max="4104" width="7" customWidth="1"/>
    <col min="4346" max="4346" width="38.85546875" customWidth="1"/>
    <col min="4347" max="4347" width="8" customWidth="1"/>
    <col min="4348" max="4348" width="10.42578125" customWidth="1"/>
    <col min="4349" max="4349" width="14.28515625" customWidth="1"/>
    <col min="4350" max="4351" width="0" hidden="1" customWidth="1"/>
    <col min="4352" max="4352" width="15.7109375" customWidth="1"/>
    <col min="4353" max="4353" width="9.140625" customWidth="1"/>
    <col min="4354" max="4354" width="7.140625" customWidth="1"/>
    <col min="4355" max="4355" width="5" customWidth="1"/>
    <col min="4356" max="4356" width="5.42578125" customWidth="1"/>
    <col min="4357" max="4357" width="7" customWidth="1"/>
    <col min="4358" max="4358" width="7.85546875" customWidth="1"/>
    <col min="4359" max="4359" width="7.42578125" customWidth="1"/>
    <col min="4360" max="4360" width="7" customWidth="1"/>
    <col min="4602" max="4602" width="38.85546875" customWidth="1"/>
    <col min="4603" max="4603" width="8" customWidth="1"/>
    <col min="4604" max="4604" width="10.42578125" customWidth="1"/>
    <col min="4605" max="4605" width="14.28515625" customWidth="1"/>
    <col min="4606" max="4607" width="0" hidden="1" customWidth="1"/>
    <col min="4608" max="4608" width="15.7109375" customWidth="1"/>
    <col min="4609" max="4609" width="9.140625" customWidth="1"/>
    <col min="4610" max="4610" width="7.140625" customWidth="1"/>
    <col min="4611" max="4611" width="5" customWidth="1"/>
    <col min="4612" max="4612" width="5.42578125" customWidth="1"/>
    <col min="4613" max="4613" width="7" customWidth="1"/>
    <col min="4614" max="4614" width="7.85546875" customWidth="1"/>
    <col min="4615" max="4615" width="7.42578125" customWidth="1"/>
    <col min="4616" max="4616" width="7" customWidth="1"/>
    <col min="4858" max="4858" width="38.85546875" customWidth="1"/>
    <col min="4859" max="4859" width="8" customWidth="1"/>
    <col min="4860" max="4860" width="10.42578125" customWidth="1"/>
    <col min="4861" max="4861" width="14.28515625" customWidth="1"/>
    <col min="4862" max="4863" width="0" hidden="1" customWidth="1"/>
    <col min="4864" max="4864" width="15.7109375" customWidth="1"/>
    <col min="4865" max="4865" width="9.140625" customWidth="1"/>
    <col min="4866" max="4866" width="7.140625" customWidth="1"/>
    <col min="4867" max="4867" width="5" customWidth="1"/>
    <col min="4868" max="4868" width="5.42578125" customWidth="1"/>
    <col min="4869" max="4869" width="7" customWidth="1"/>
    <col min="4870" max="4870" width="7.85546875" customWidth="1"/>
    <col min="4871" max="4871" width="7.42578125" customWidth="1"/>
    <col min="4872" max="4872" width="7" customWidth="1"/>
    <col min="5114" max="5114" width="38.85546875" customWidth="1"/>
    <col min="5115" max="5115" width="8" customWidth="1"/>
    <col min="5116" max="5116" width="10.42578125" customWidth="1"/>
    <col min="5117" max="5117" width="14.28515625" customWidth="1"/>
    <col min="5118" max="5119" width="0" hidden="1" customWidth="1"/>
    <col min="5120" max="5120" width="15.7109375" customWidth="1"/>
    <col min="5121" max="5121" width="9.140625" customWidth="1"/>
    <col min="5122" max="5122" width="7.140625" customWidth="1"/>
    <col min="5123" max="5123" width="5" customWidth="1"/>
    <col min="5124" max="5124" width="5.42578125" customWidth="1"/>
    <col min="5125" max="5125" width="7" customWidth="1"/>
    <col min="5126" max="5126" width="7.85546875" customWidth="1"/>
    <col min="5127" max="5127" width="7.42578125" customWidth="1"/>
    <col min="5128" max="5128" width="7" customWidth="1"/>
    <col min="5370" max="5370" width="38.85546875" customWidth="1"/>
    <col min="5371" max="5371" width="8" customWidth="1"/>
    <col min="5372" max="5372" width="10.42578125" customWidth="1"/>
    <col min="5373" max="5373" width="14.28515625" customWidth="1"/>
    <col min="5374" max="5375" width="0" hidden="1" customWidth="1"/>
    <col min="5376" max="5376" width="15.7109375" customWidth="1"/>
    <col min="5377" max="5377" width="9.140625" customWidth="1"/>
    <col min="5378" max="5378" width="7.140625" customWidth="1"/>
    <col min="5379" max="5379" width="5" customWidth="1"/>
    <col min="5380" max="5380" width="5.42578125" customWidth="1"/>
    <col min="5381" max="5381" width="7" customWidth="1"/>
    <col min="5382" max="5382" width="7.85546875" customWidth="1"/>
    <col min="5383" max="5383" width="7.42578125" customWidth="1"/>
    <col min="5384" max="5384" width="7" customWidth="1"/>
    <col min="5626" max="5626" width="38.85546875" customWidth="1"/>
    <col min="5627" max="5627" width="8" customWidth="1"/>
    <col min="5628" max="5628" width="10.42578125" customWidth="1"/>
    <col min="5629" max="5629" width="14.28515625" customWidth="1"/>
    <col min="5630" max="5631" width="0" hidden="1" customWidth="1"/>
    <col min="5632" max="5632" width="15.7109375" customWidth="1"/>
    <col min="5633" max="5633" width="9.140625" customWidth="1"/>
    <col min="5634" max="5634" width="7.140625" customWidth="1"/>
    <col min="5635" max="5635" width="5" customWidth="1"/>
    <col min="5636" max="5636" width="5.42578125" customWidth="1"/>
    <col min="5637" max="5637" width="7" customWidth="1"/>
    <col min="5638" max="5638" width="7.85546875" customWidth="1"/>
    <col min="5639" max="5639" width="7.42578125" customWidth="1"/>
    <col min="5640" max="5640" width="7" customWidth="1"/>
    <col min="5882" max="5882" width="38.85546875" customWidth="1"/>
    <col min="5883" max="5883" width="8" customWidth="1"/>
    <col min="5884" max="5884" width="10.42578125" customWidth="1"/>
    <col min="5885" max="5885" width="14.28515625" customWidth="1"/>
    <col min="5886" max="5887" width="0" hidden="1" customWidth="1"/>
    <col min="5888" max="5888" width="15.7109375" customWidth="1"/>
    <col min="5889" max="5889" width="9.140625" customWidth="1"/>
    <col min="5890" max="5890" width="7.140625" customWidth="1"/>
    <col min="5891" max="5891" width="5" customWidth="1"/>
    <col min="5892" max="5892" width="5.42578125" customWidth="1"/>
    <col min="5893" max="5893" width="7" customWidth="1"/>
    <col min="5894" max="5894" width="7.85546875" customWidth="1"/>
    <col min="5895" max="5895" width="7.42578125" customWidth="1"/>
    <col min="5896" max="5896" width="7" customWidth="1"/>
    <col min="6138" max="6138" width="38.85546875" customWidth="1"/>
    <col min="6139" max="6139" width="8" customWidth="1"/>
    <col min="6140" max="6140" width="10.42578125" customWidth="1"/>
    <col min="6141" max="6141" width="14.28515625" customWidth="1"/>
    <col min="6142" max="6143" width="0" hidden="1" customWidth="1"/>
    <col min="6144" max="6144" width="15.7109375" customWidth="1"/>
    <col min="6145" max="6145" width="9.140625" customWidth="1"/>
    <col min="6146" max="6146" width="7.140625" customWidth="1"/>
    <col min="6147" max="6147" width="5" customWidth="1"/>
    <col min="6148" max="6148" width="5.42578125" customWidth="1"/>
    <col min="6149" max="6149" width="7" customWidth="1"/>
    <col min="6150" max="6150" width="7.85546875" customWidth="1"/>
    <col min="6151" max="6151" width="7.42578125" customWidth="1"/>
    <col min="6152" max="6152" width="7" customWidth="1"/>
    <col min="6394" max="6394" width="38.85546875" customWidth="1"/>
    <col min="6395" max="6395" width="8" customWidth="1"/>
    <col min="6396" max="6396" width="10.42578125" customWidth="1"/>
    <col min="6397" max="6397" width="14.28515625" customWidth="1"/>
    <col min="6398" max="6399" width="0" hidden="1" customWidth="1"/>
    <col min="6400" max="6400" width="15.7109375" customWidth="1"/>
    <col min="6401" max="6401" width="9.140625" customWidth="1"/>
    <col min="6402" max="6402" width="7.140625" customWidth="1"/>
    <col min="6403" max="6403" width="5" customWidth="1"/>
    <col min="6404" max="6404" width="5.42578125" customWidth="1"/>
    <col min="6405" max="6405" width="7" customWidth="1"/>
    <col min="6406" max="6406" width="7.85546875" customWidth="1"/>
    <col min="6407" max="6407" width="7.42578125" customWidth="1"/>
    <col min="6408" max="6408" width="7" customWidth="1"/>
    <col min="6650" max="6650" width="38.85546875" customWidth="1"/>
    <col min="6651" max="6651" width="8" customWidth="1"/>
    <col min="6652" max="6652" width="10.42578125" customWidth="1"/>
    <col min="6653" max="6653" width="14.28515625" customWidth="1"/>
    <col min="6654" max="6655" width="0" hidden="1" customWidth="1"/>
    <col min="6656" max="6656" width="15.7109375" customWidth="1"/>
    <col min="6657" max="6657" width="9.140625" customWidth="1"/>
    <col min="6658" max="6658" width="7.140625" customWidth="1"/>
    <col min="6659" max="6659" width="5" customWidth="1"/>
    <col min="6660" max="6660" width="5.42578125" customWidth="1"/>
    <col min="6661" max="6661" width="7" customWidth="1"/>
    <col min="6662" max="6662" width="7.85546875" customWidth="1"/>
    <col min="6663" max="6663" width="7.42578125" customWidth="1"/>
    <col min="6664" max="6664" width="7" customWidth="1"/>
    <col min="6906" max="6906" width="38.85546875" customWidth="1"/>
    <col min="6907" max="6907" width="8" customWidth="1"/>
    <col min="6908" max="6908" width="10.42578125" customWidth="1"/>
    <col min="6909" max="6909" width="14.28515625" customWidth="1"/>
    <col min="6910" max="6911" width="0" hidden="1" customWidth="1"/>
    <col min="6912" max="6912" width="15.7109375" customWidth="1"/>
    <col min="6913" max="6913" width="9.140625" customWidth="1"/>
    <col min="6914" max="6914" width="7.140625" customWidth="1"/>
    <col min="6915" max="6915" width="5" customWidth="1"/>
    <col min="6916" max="6916" width="5.42578125" customWidth="1"/>
    <col min="6917" max="6917" width="7" customWidth="1"/>
    <col min="6918" max="6918" width="7.85546875" customWidth="1"/>
    <col min="6919" max="6919" width="7.42578125" customWidth="1"/>
    <col min="6920" max="6920" width="7" customWidth="1"/>
    <col min="7162" max="7162" width="38.85546875" customWidth="1"/>
    <col min="7163" max="7163" width="8" customWidth="1"/>
    <col min="7164" max="7164" width="10.42578125" customWidth="1"/>
    <col min="7165" max="7165" width="14.28515625" customWidth="1"/>
    <col min="7166" max="7167" width="0" hidden="1" customWidth="1"/>
    <col min="7168" max="7168" width="15.7109375" customWidth="1"/>
    <col min="7169" max="7169" width="9.140625" customWidth="1"/>
    <col min="7170" max="7170" width="7.140625" customWidth="1"/>
    <col min="7171" max="7171" width="5" customWidth="1"/>
    <col min="7172" max="7172" width="5.42578125" customWidth="1"/>
    <col min="7173" max="7173" width="7" customWidth="1"/>
    <col min="7174" max="7174" width="7.85546875" customWidth="1"/>
    <col min="7175" max="7175" width="7.42578125" customWidth="1"/>
    <col min="7176" max="7176" width="7" customWidth="1"/>
    <col min="7418" max="7418" width="38.85546875" customWidth="1"/>
    <col min="7419" max="7419" width="8" customWidth="1"/>
    <col min="7420" max="7420" width="10.42578125" customWidth="1"/>
    <col min="7421" max="7421" width="14.28515625" customWidth="1"/>
    <col min="7422" max="7423" width="0" hidden="1" customWidth="1"/>
    <col min="7424" max="7424" width="15.7109375" customWidth="1"/>
    <col min="7425" max="7425" width="9.140625" customWidth="1"/>
    <col min="7426" max="7426" width="7.140625" customWidth="1"/>
    <col min="7427" max="7427" width="5" customWidth="1"/>
    <col min="7428" max="7428" width="5.42578125" customWidth="1"/>
    <col min="7429" max="7429" width="7" customWidth="1"/>
    <col min="7430" max="7430" width="7.85546875" customWidth="1"/>
    <col min="7431" max="7431" width="7.42578125" customWidth="1"/>
    <col min="7432" max="7432" width="7" customWidth="1"/>
    <col min="7674" max="7674" width="38.85546875" customWidth="1"/>
    <col min="7675" max="7675" width="8" customWidth="1"/>
    <col min="7676" max="7676" width="10.42578125" customWidth="1"/>
    <col min="7677" max="7677" width="14.28515625" customWidth="1"/>
    <col min="7678" max="7679" width="0" hidden="1" customWidth="1"/>
    <col min="7680" max="7680" width="15.7109375" customWidth="1"/>
    <col min="7681" max="7681" width="9.140625" customWidth="1"/>
    <col min="7682" max="7682" width="7.140625" customWidth="1"/>
    <col min="7683" max="7683" width="5" customWidth="1"/>
    <col min="7684" max="7684" width="5.42578125" customWidth="1"/>
    <col min="7685" max="7685" width="7" customWidth="1"/>
    <col min="7686" max="7686" width="7.85546875" customWidth="1"/>
    <col min="7687" max="7687" width="7.42578125" customWidth="1"/>
    <col min="7688" max="7688" width="7" customWidth="1"/>
    <col min="7930" max="7930" width="38.85546875" customWidth="1"/>
    <col min="7931" max="7931" width="8" customWidth="1"/>
    <col min="7932" max="7932" width="10.42578125" customWidth="1"/>
    <col min="7933" max="7933" width="14.28515625" customWidth="1"/>
    <col min="7934" max="7935" width="0" hidden="1" customWidth="1"/>
    <col min="7936" max="7936" width="15.7109375" customWidth="1"/>
    <col min="7937" max="7937" width="9.140625" customWidth="1"/>
    <col min="7938" max="7938" width="7.140625" customWidth="1"/>
    <col min="7939" max="7939" width="5" customWidth="1"/>
    <col min="7940" max="7940" width="5.42578125" customWidth="1"/>
    <col min="7941" max="7941" width="7" customWidth="1"/>
    <col min="7942" max="7942" width="7.85546875" customWidth="1"/>
    <col min="7943" max="7943" width="7.42578125" customWidth="1"/>
    <col min="7944" max="7944" width="7" customWidth="1"/>
    <col min="8186" max="8186" width="38.85546875" customWidth="1"/>
    <col min="8187" max="8187" width="8" customWidth="1"/>
    <col min="8188" max="8188" width="10.42578125" customWidth="1"/>
    <col min="8189" max="8189" width="14.28515625" customWidth="1"/>
    <col min="8190" max="8191" width="0" hidden="1" customWidth="1"/>
    <col min="8192" max="8192" width="15.7109375" customWidth="1"/>
    <col min="8193" max="8193" width="9.140625" customWidth="1"/>
    <col min="8194" max="8194" width="7.140625" customWidth="1"/>
    <col min="8195" max="8195" width="5" customWidth="1"/>
    <col min="8196" max="8196" width="5.42578125" customWidth="1"/>
    <col min="8197" max="8197" width="7" customWidth="1"/>
    <col min="8198" max="8198" width="7.85546875" customWidth="1"/>
    <col min="8199" max="8199" width="7.42578125" customWidth="1"/>
    <col min="8200" max="8200" width="7" customWidth="1"/>
    <col min="8442" max="8442" width="38.85546875" customWidth="1"/>
    <col min="8443" max="8443" width="8" customWidth="1"/>
    <col min="8444" max="8444" width="10.42578125" customWidth="1"/>
    <col min="8445" max="8445" width="14.28515625" customWidth="1"/>
    <col min="8446" max="8447" width="0" hidden="1" customWidth="1"/>
    <col min="8448" max="8448" width="15.7109375" customWidth="1"/>
    <col min="8449" max="8449" width="9.140625" customWidth="1"/>
    <col min="8450" max="8450" width="7.140625" customWidth="1"/>
    <col min="8451" max="8451" width="5" customWidth="1"/>
    <col min="8452" max="8452" width="5.42578125" customWidth="1"/>
    <col min="8453" max="8453" width="7" customWidth="1"/>
    <col min="8454" max="8454" width="7.85546875" customWidth="1"/>
    <col min="8455" max="8455" width="7.42578125" customWidth="1"/>
    <col min="8456" max="8456" width="7" customWidth="1"/>
    <col min="8698" max="8698" width="38.85546875" customWidth="1"/>
    <col min="8699" max="8699" width="8" customWidth="1"/>
    <col min="8700" max="8700" width="10.42578125" customWidth="1"/>
    <col min="8701" max="8701" width="14.28515625" customWidth="1"/>
    <col min="8702" max="8703" width="0" hidden="1" customWidth="1"/>
    <col min="8704" max="8704" width="15.7109375" customWidth="1"/>
    <col min="8705" max="8705" width="9.140625" customWidth="1"/>
    <col min="8706" max="8706" width="7.140625" customWidth="1"/>
    <col min="8707" max="8707" width="5" customWidth="1"/>
    <col min="8708" max="8708" width="5.42578125" customWidth="1"/>
    <col min="8709" max="8709" width="7" customWidth="1"/>
    <col min="8710" max="8710" width="7.85546875" customWidth="1"/>
    <col min="8711" max="8711" width="7.42578125" customWidth="1"/>
    <col min="8712" max="8712" width="7" customWidth="1"/>
    <col min="8954" max="8954" width="38.85546875" customWidth="1"/>
    <col min="8955" max="8955" width="8" customWidth="1"/>
    <col min="8956" max="8956" width="10.42578125" customWidth="1"/>
    <col min="8957" max="8957" width="14.28515625" customWidth="1"/>
    <col min="8958" max="8959" width="0" hidden="1" customWidth="1"/>
    <col min="8960" max="8960" width="15.7109375" customWidth="1"/>
    <col min="8961" max="8961" width="9.140625" customWidth="1"/>
    <col min="8962" max="8962" width="7.140625" customWidth="1"/>
    <col min="8963" max="8963" width="5" customWidth="1"/>
    <col min="8964" max="8964" width="5.42578125" customWidth="1"/>
    <col min="8965" max="8965" width="7" customWidth="1"/>
    <col min="8966" max="8966" width="7.85546875" customWidth="1"/>
    <col min="8967" max="8967" width="7.42578125" customWidth="1"/>
    <col min="8968" max="8968" width="7" customWidth="1"/>
    <col min="9210" max="9210" width="38.85546875" customWidth="1"/>
    <col min="9211" max="9211" width="8" customWidth="1"/>
    <col min="9212" max="9212" width="10.42578125" customWidth="1"/>
    <col min="9213" max="9213" width="14.28515625" customWidth="1"/>
    <col min="9214" max="9215" width="0" hidden="1" customWidth="1"/>
    <col min="9216" max="9216" width="15.7109375" customWidth="1"/>
    <col min="9217" max="9217" width="9.140625" customWidth="1"/>
    <col min="9218" max="9218" width="7.140625" customWidth="1"/>
    <col min="9219" max="9219" width="5" customWidth="1"/>
    <col min="9220" max="9220" width="5.42578125" customWidth="1"/>
    <col min="9221" max="9221" width="7" customWidth="1"/>
    <col min="9222" max="9222" width="7.85546875" customWidth="1"/>
    <col min="9223" max="9223" width="7.42578125" customWidth="1"/>
    <col min="9224" max="9224" width="7" customWidth="1"/>
    <col min="9466" max="9466" width="38.85546875" customWidth="1"/>
    <col min="9467" max="9467" width="8" customWidth="1"/>
    <col min="9468" max="9468" width="10.42578125" customWidth="1"/>
    <col min="9469" max="9469" width="14.28515625" customWidth="1"/>
    <col min="9470" max="9471" width="0" hidden="1" customWidth="1"/>
    <col min="9472" max="9472" width="15.7109375" customWidth="1"/>
    <col min="9473" max="9473" width="9.140625" customWidth="1"/>
    <col min="9474" max="9474" width="7.140625" customWidth="1"/>
    <col min="9475" max="9475" width="5" customWidth="1"/>
    <col min="9476" max="9476" width="5.42578125" customWidth="1"/>
    <col min="9477" max="9477" width="7" customWidth="1"/>
    <col min="9478" max="9478" width="7.85546875" customWidth="1"/>
    <col min="9479" max="9479" width="7.42578125" customWidth="1"/>
    <col min="9480" max="9480" width="7" customWidth="1"/>
    <col min="9722" max="9722" width="38.85546875" customWidth="1"/>
    <col min="9723" max="9723" width="8" customWidth="1"/>
    <col min="9724" max="9724" width="10.42578125" customWidth="1"/>
    <col min="9725" max="9725" width="14.28515625" customWidth="1"/>
    <col min="9726" max="9727" width="0" hidden="1" customWidth="1"/>
    <col min="9728" max="9728" width="15.7109375" customWidth="1"/>
    <col min="9729" max="9729" width="9.140625" customWidth="1"/>
    <col min="9730" max="9730" width="7.140625" customWidth="1"/>
    <col min="9731" max="9731" width="5" customWidth="1"/>
    <col min="9732" max="9732" width="5.42578125" customWidth="1"/>
    <col min="9733" max="9733" width="7" customWidth="1"/>
    <col min="9734" max="9734" width="7.85546875" customWidth="1"/>
    <col min="9735" max="9735" width="7.42578125" customWidth="1"/>
    <col min="9736" max="9736" width="7" customWidth="1"/>
    <col min="9978" max="9978" width="38.85546875" customWidth="1"/>
    <col min="9979" max="9979" width="8" customWidth="1"/>
    <col min="9980" max="9980" width="10.42578125" customWidth="1"/>
    <col min="9981" max="9981" width="14.28515625" customWidth="1"/>
    <col min="9982" max="9983" width="0" hidden="1" customWidth="1"/>
    <col min="9984" max="9984" width="15.7109375" customWidth="1"/>
    <col min="9985" max="9985" width="9.140625" customWidth="1"/>
    <col min="9986" max="9986" width="7.140625" customWidth="1"/>
    <col min="9987" max="9987" width="5" customWidth="1"/>
    <col min="9988" max="9988" width="5.42578125" customWidth="1"/>
    <col min="9989" max="9989" width="7" customWidth="1"/>
    <col min="9990" max="9990" width="7.85546875" customWidth="1"/>
    <col min="9991" max="9991" width="7.42578125" customWidth="1"/>
    <col min="9992" max="9992" width="7" customWidth="1"/>
    <col min="10234" max="10234" width="38.85546875" customWidth="1"/>
    <col min="10235" max="10235" width="8" customWidth="1"/>
    <col min="10236" max="10236" width="10.42578125" customWidth="1"/>
    <col min="10237" max="10237" width="14.28515625" customWidth="1"/>
    <col min="10238" max="10239" width="0" hidden="1" customWidth="1"/>
    <col min="10240" max="10240" width="15.7109375" customWidth="1"/>
    <col min="10241" max="10241" width="9.140625" customWidth="1"/>
    <col min="10242" max="10242" width="7.140625" customWidth="1"/>
    <col min="10243" max="10243" width="5" customWidth="1"/>
    <col min="10244" max="10244" width="5.42578125" customWidth="1"/>
    <col min="10245" max="10245" width="7" customWidth="1"/>
    <col min="10246" max="10246" width="7.85546875" customWidth="1"/>
    <col min="10247" max="10247" width="7.42578125" customWidth="1"/>
    <col min="10248" max="10248" width="7" customWidth="1"/>
    <col min="10490" max="10490" width="38.85546875" customWidth="1"/>
    <col min="10491" max="10491" width="8" customWidth="1"/>
    <col min="10492" max="10492" width="10.42578125" customWidth="1"/>
    <col min="10493" max="10493" width="14.28515625" customWidth="1"/>
    <col min="10494" max="10495" width="0" hidden="1" customWidth="1"/>
    <col min="10496" max="10496" width="15.7109375" customWidth="1"/>
    <col min="10497" max="10497" width="9.140625" customWidth="1"/>
    <col min="10498" max="10498" width="7.140625" customWidth="1"/>
    <col min="10499" max="10499" width="5" customWidth="1"/>
    <col min="10500" max="10500" width="5.42578125" customWidth="1"/>
    <col min="10501" max="10501" width="7" customWidth="1"/>
    <col min="10502" max="10502" width="7.85546875" customWidth="1"/>
    <col min="10503" max="10503" width="7.42578125" customWidth="1"/>
    <col min="10504" max="10504" width="7" customWidth="1"/>
    <col min="10746" max="10746" width="38.85546875" customWidth="1"/>
    <col min="10747" max="10747" width="8" customWidth="1"/>
    <col min="10748" max="10748" width="10.42578125" customWidth="1"/>
    <col min="10749" max="10749" width="14.28515625" customWidth="1"/>
    <col min="10750" max="10751" width="0" hidden="1" customWidth="1"/>
    <col min="10752" max="10752" width="15.7109375" customWidth="1"/>
    <col min="10753" max="10753" width="9.140625" customWidth="1"/>
    <col min="10754" max="10754" width="7.140625" customWidth="1"/>
    <col min="10755" max="10755" width="5" customWidth="1"/>
    <col min="10756" max="10756" width="5.42578125" customWidth="1"/>
    <col min="10757" max="10757" width="7" customWidth="1"/>
    <col min="10758" max="10758" width="7.85546875" customWidth="1"/>
    <col min="10759" max="10759" width="7.42578125" customWidth="1"/>
    <col min="10760" max="10760" width="7" customWidth="1"/>
    <col min="11002" max="11002" width="38.85546875" customWidth="1"/>
    <col min="11003" max="11003" width="8" customWidth="1"/>
    <col min="11004" max="11004" width="10.42578125" customWidth="1"/>
    <col min="11005" max="11005" width="14.28515625" customWidth="1"/>
    <col min="11006" max="11007" width="0" hidden="1" customWidth="1"/>
    <col min="11008" max="11008" width="15.7109375" customWidth="1"/>
    <col min="11009" max="11009" width="9.140625" customWidth="1"/>
    <col min="11010" max="11010" width="7.140625" customWidth="1"/>
    <col min="11011" max="11011" width="5" customWidth="1"/>
    <col min="11012" max="11012" width="5.42578125" customWidth="1"/>
    <col min="11013" max="11013" width="7" customWidth="1"/>
    <col min="11014" max="11014" width="7.85546875" customWidth="1"/>
    <col min="11015" max="11015" width="7.42578125" customWidth="1"/>
    <col min="11016" max="11016" width="7" customWidth="1"/>
    <col min="11258" max="11258" width="38.85546875" customWidth="1"/>
    <col min="11259" max="11259" width="8" customWidth="1"/>
    <col min="11260" max="11260" width="10.42578125" customWidth="1"/>
    <col min="11261" max="11261" width="14.28515625" customWidth="1"/>
    <col min="11262" max="11263" width="0" hidden="1" customWidth="1"/>
    <col min="11264" max="11264" width="15.7109375" customWidth="1"/>
    <col min="11265" max="11265" width="9.140625" customWidth="1"/>
    <col min="11266" max="11266" width="7.140625" customWidth="1"/>
    <col min="11267" max="11267" width="5" customWidth="1"/>
    <col min="11268" max="11268" width="5.42578125" customWidth="1"/>
    <col min="11269" max="11269" width="7" customWidth="1"/>
    <col min="11270" max="11270" width="7.85546875" customWidth="1"/>
    <col min="11271" max="11271" width="7.42578125" customWidth="1"/>
    <col min="11272" max="11272" width="7" customWidth="1"/>
    <col min="11514" max="11514" width="38.85546875" customWidth="1"/>
    <col min="11515" max="11515" width="8" customWidth="1"/>
    <col min="11516" max="11516" width="10.42578125" customWidth="1"/>
    <col min="11517" max="11517" width="14.28515625" customWidth="1"/>
    <col min="11518" max="11519" width="0" hidden="1" customWidth="1"/>
    <col min="11520" max="11520" width="15.7109375" customWidth="1"/>
    <col min="11521" max="11521" width="9.140625" customWidth="1"/>
    <col min="11522" max="11522" width="7.140625" customWidth="1"/>
    <col min="11523" max="11523" width="5" customWidth="1"/>
    <col min="11524" max="11524" width="5.42578125" customWidth="1"/>
    <col min="11525" max="11525" width="7" customWidth="1"/>
    <col min="11526" max="11526" width="7.85546875" customWidth="1"/>
    <col min="11527" max="11527" width="7.42578125" customWidth="1"/>
    <col min="11528" max="11528" width="7" customWidth="1"/>
    <col min="11770" max="11770" width="38.85546875" customWidth="1"/>
    <col min="11771" max="11771" width="8" customWidth="1"/>
    <col min="11772" max="11772" width="10.42578125" customWidth="1"/>
    <col min="11773" max="11773" width="14.28515625" customWidth="1"/>
    <col min="11774" max="11775" width="0" hidden="1" customWidth="1"/>
    <col min="11776" max="11776" width="15.7109375" customWidth="1"/>
    <col min="11777" max="11777" width="9.140625" customWidth="1"/>
    <col min="11778" max="11778" width="7.140625" customWidth="1"/>
    <col min="11779" max="11779" width="5" customWidth="1"/>
    <col min="11780" max="11780" width="5.42578125" customWidth="1"/>
    <col min="11781" max="11781" width="7" customWidth="1"/>
    <col min="11782" max="11782" width="7.85546875" customWidth="1"/>
    <col min="11783" max="11783" width="7.42578125" customWidth="1"/>
    <col min="11784" max="11784" width="7" customWidth="1"/>
    <col min="12026" max="12026" width="38.85546875" customWidth="1"/>
    <col min="12027" max="12027" width="8" customWidth="1"/>
    <col min="12028" max="12028" width="10.42578125" customWidth="1"/>
    <col min="12029" max="12029" width="14.28515625" customWidth="1"/>
    <col min="12030" max="12031" width="0" hidden="1" customWidth="1"/>
    <col min="12032" max="12032" width="15.7109375" customWidth="1"/>
    <col min="12033" max="12033" width="9.140625" customWidth="1"/>
    <col min="12034" max="12034" width="7.140625" customWidth="1"/>
    <col min="12035" max="12035" width="5" customWidth="1"/>
    <col min="12036" max="12036" width="5.42578125" customWidth="1"/>
    <col min="12037" max="12037" width="7" customWidth="1"/>
    <col min="12038" max="12038" width="7.85546875" customWidth="1"/>
    <col min="12039" max="12039" width="7.42578125" customWidth="1"/>
    <col min="12040" max="12040" width="7" customWidth="1"/>
    <col min="12282" max="12282" width="38.85546875" customWidth="1"/>
    <col min="12283" max="12283" width="8" customWidth="1"/>
    <col min="12284" max="12284" width="10.42578125" customWidth="1"/>
    <col min="12285" max="12285" width="14.28515625" customWidth="1"/>
    <col min="12286" max="12287" width="0" hidden="1" customWidth="1"/>
    <col min="12288" max="12288" width="15.7109375" customWidth="1"/>
    <col min="12289" max="12289" width="9.140625" customWidth="1"/>
    <col min="12290" max="12290" width="7.140625" customWidth="1"/>
    <col min="12291" max="12291" width="5" customWidth="1"/>
    <col min="12292" max="12292" width="5.42578125" customWidth="1"/>
    <col min="12293" max="12293" width="7" customWidth="1"/>
    <col min="12294" max="12294" width="7.85546875" customWidth="1"/>
    <col min="12295" max="12295" width="7.42578125" customWidth="1"/>
    <col min="12296" max="12296" width="7" customWidth="1"/>
    <col min="12538" max="12538" width="38.85546875" customWidth="1"/>
    <col min="12539" max="12539" width="8" customWidth="1"/>
    <col min="12540" max="12540" width="10.42578125" customWidth="1"/>
    <col min="12541" max="12541" width="14.28515625" customWidth="1"/>
    <col min="12542" max="12543" width="0" hidden="1" customWidth="1"/>
    <col min="12544" max="12544" width="15.7109375" customWidth="1"/>
    <col min="12545" max="12545" width="9.140625" customWidth="1"/>
    <col min="12546" max="12546" width="7.140625" customWidth="1"/>
    <col min="12547" max="12547" width="5" customWidth="1"/>
    <col min="12548" max="12548" width="5.42578125" customWidth="1"/>
    <col min="12549" max="12549" width="7" customWidth="1"/>
    <col min="12550" max="12550" width="7.85546875" customWidth="1"/>
    <col min="12551" max="12551" width="7.42578125" customWidth="1"/>
    <col min="12552" max="12552" width="7" customWidth="1"/>
    <col min="12794" max="12794" width="38.85546875" customWidth="1"/>
    <col min="12795" max="12795" width="8" customWidth="1"/>
    <col min="12796" max="12796" width="10.42578125" customWidth="1"/>
    <col min="12797" max="12797" width="14.28515625" customWidth="1"/>
    <col min="12798" max="12799" width="0" hidden="1" customWidth="1"/>
    <col min="12800" max="12800" width="15.7109375" customWidth="1"/>
    <col min="12801" max="12801" width="9.140625" customWidth="1"/>
    <col min="12802" max="12802" width="7.140625" customWidth="1"/>
    <col min="12803" max="12803" width="5" customWidth="1"/>
    <col min="12804" max="12804" width="5.42578125" customWidth="1"/>
    <col min="12805" max="12805" width="7" customWidth="1"/>
    <col min="12806" max="12806" width="7.85546875" customWidth="1"/>
    <col min="12807" max="12807" width="7.42578125" customWidth="1"/>
    <col min="12808" max="12808" width="7" customWidth="1"/>
    <col min="13050" max="13050" width="38.85546875" customWidth="1"/>
    <col min="13051" max="13051" width="8" customWidth="1"/>
    <col min="13052" max="13052" width="10.42578125" customWidth="1"/>
    <col min="13053" max="13053" width="14.28515625" customWidth="1"/>
    <col min="13054" max="13055" width="0" hidden="1" customWidth="1"/>
    <col min="13056" max="13056" width="15.7109375" customWidth="1"/>
    <col min="13057" max="13057" width="9.140625" customWidth="1"/>
    <col min="13058" max="13058" width="7.140625" customWidth="1"/>
    <col min="13059" max="13059" width="5" customWidth="1"/>
    <col min="13060" max="13060" width="5.42578125" customWidth="1"/>
    <col min="13061" max="13061" width="7" customWidth="1"/>
    <col min="13062" max="13062" width="7.85546875" customWidth="1"/>
    <col min="13063" max="13063" width="7.42578125" customWidth="1"/>
    <col min="13064" max="13064" width="7" customWidth="1"/>
    <col min="13306" max="13306" width="38.85546875" customWidth="1"/>
    <col min="13307" max="13307" width="8" customWidth="1"/>
    <col min="13308" max="13308" width="10.42578125" customWidth="1"/>
    <col min="13309" max="13309" width="14.28515625" customWidth="1"/>
    <col min="13310" max="13311" width="0" hidden="1" customWidth="1"/>
    <col min="13312" max="13312" width="15.7109375" customWidth="1"/>
    <col min="13313" max="13313" width="9.140625" customWidth="1"/>
    <col min="13314" max="13314" width="7.140625" customWidth="1"/>
    <col min="13315" max="13315" width="5" customWidth="1"/>
    <col min="13316" max="13316" width="5.42578125" customWidth="1"/>
    <col min="13317" max="13317" width="7" customWidth="1"/>
    <col min="13318" max="13318" width="7.85546875" customWidth="1"/>
    <col min="13319" max="13319" width="7.42578125" customWidth="1"/>
    <col min="13320" max="13320" width="7" customWidth="1"/>
    <col min="13562" max="13562" width="38.85546875" customWidth="1"/>
    <col min="13563" max="13563" width="8" customWidth="1"/>
    <col min="13564" max="13564" width="10.42578125" customWidth="1"/>
    <col min="13565" max="13565" width="14.28515625" customWidth="1"/>
    <col min="13566" max="13567" width="0" hidden="1" customWidth="1"/>
    <col min="13568" max="13568" width="15.7109375" customWidth="1"/>
    <col min="13569" max="13569" width="9.140625" customWidth="1"/>
    <col min="13570" max="13570" width="7.140625" customWidth="1"/>
    <col min="13571" max="13571" width="5" customWidth="1"/>
    <col min="13572" max="13572" width="5.42578125" customWidth="1"/>
    <col min="13573" max="13573" width="7" customWidth="1"/>
    <col min="13574" max="13574" width="7.85546875" customWidth="1"/>
    <col min="13575" max="13575" width="7.42578125" customWidth="1"/>
    <col min="13576" max="13576" width="7" customWidth="1"/>
    <col min="13818" max="13818" width="38.85546875" customWidth="1"/>
    <col min="13819" max="13819" width="8" customWidth="1"/>
    <col min="13820" max="13820" width="10.42578125" customWidth="1"/>
    <col min="13821" max="13821" width="14.28515625" customWidth="1"/>
    <col min="13822" max="13823" width="0" hidden="1" customWidth="1"/>
    <col min="13824" max="13824" width="15.7109375" customWidth="1"/>
    <col min="13825" max="13825" width="9.140625" customWidth="1"/>
    <col min="13826" max="13826" width="7.140625" customWidth="1"/>
    <col min="13827" max="13827" width="5" customWidth="1"/>
    <col min="13828" max="13828" width="5.42578125" customWidth="1"/>
    <col min="13829" max="13829" width="7" customWidth="1"/>
    <col min="13830" max="13830" width="7.85546875" customWidth="1"/>
    <col min="13831" max="13831" width="7.42578125" customWidth="1"/>
    <col min="13832" max="13832" width="7" customWidth="1"/>
    <col min="14074" max="14074" width="38.85546875" customWidth="1"/>
    <col min="14075" max="14075" width="8" customWidth="1"/>
    <col min="14076" max="14076" width="10.42578125" customWidth="1"/>
    <col min="14077" max="14077" width="14.28515625" customWidth="1"/>
    <col min="14078" max="14079" width="0" hidden="1" customWidth="1"/>
    <col min="14080" max="14080" width="15.7109375" customWidth="1"/>
    <col min="14081" max="14081" width="9.140625" customWidth="1"/>
    <col min="14082" max="14082" width="7.140625" customWidth="1"/>
    <col min="14083" max="14083" width="5" customWidth="1"/>
    <col min="14084" max="14084" width="5.42578125" customWidth="1"/>
    <col min="14085" max="14085" width="7" customWidth="1"/>
    <col min="14086" max="14086" width="7.85546875" customWidth="1"/>
    <col min="14087" max="14087" width="7.42578125" customWidth="1"/>
    <col min="14088" max="14088" width="7" customWidth="1"/>
    <col min="14330" max="14330" width="38.85546875" customWidth="1"/>
    <col min="14331" max="14331" width="8" customWidth="1"/>
    <col min="14332" max="14332" width="10.42578125" customWidth="1"/>
    <col min="14333" max="14333" width="14.28515625" customWidth="1"/>
    <col min="14334" max="14335" width="0" hidden="1" customWidth="1"/>
    <col min="14336" max="14336" width="15.7109375" customWidth="1"/>
    <col min="14337" max="14337" width="9.140625" customWidth="1"/>
    <col min="14338" max="14338" width="7.140625" customWidth="1"/>
    <col min="14339" max="14339" width="5" customWidth="1"/>
    <col min="14340" max="14340" width="5.42578125" customWidth="1"/>
    <col min="14341" max="14341" width="7" customWidth="1"/>
    <col min="14342" max="14342" width="7.85546875" customWidth="1"/>
    <col min="14343" max="14343" width="7.42578125" customWidth="1"/>
    <col min="14344" max="14344" width="7" customWidth="1"/>
    <col min="14586" max="14586" width="38.85546875" customWidth="1"/>
    <col min="14587" max="14587" width="8" customWidth="1"/>
    <col min="14588" max="14588" width="10.42578125" customWidth="1"/>
    <col min="14589" max="14589" width="14.28515625" customWidth="1"/>
    <col min="14590" max="14591" width="0" hidden="1" customWidth="1"/>
    <col min="14592" max="14592" width="15.7109375" customWidth="1"/>
    <col min="14593" max="14593" width="9.140625" customWidth="1"/>
    <col min="14594" max="14594" width="7.140625" customWidth="1"/>
    <col min="14595" max="14595" width="5" customWidth="1"/>
    <col min="14596" max="14596" width="5.42578125" customWidth="1"/>
    <col min="14597" max="14597" width="7" customWidth="1"/>
    <col min="14598" max="14598" width="7.85546875" customWidth="1"/>
    <col min="14599" max="14599" width="7.42578125" customWidth="1"/>
    <col min="14600" max="14600" width="7" customWidth="1"/>
    <col min="14842" max="14842" width="38.85546875" customWidth="1"/>
    <col min="14843" max="14843" width="8" customWidth="1"/>
    <col min="14844" max="14844" width="10.42578125" customWidth="1"/>
    <col min="14845" max="14845" width="14.28515625" customWidth="1"/>
    <col min="14846" max="14847" width="0" hidden="1" customWidth="1"/>
    <col min="14848" max="14848" width="15.7109375" customWidth="1"/>
    <col min="14849" max="14849" width="9.140625" customWidth="1"/>
    <col min="14850" max="14850" width="7.140625" customWidth="1"/>
    <col min="14851" max="14851" width="5" customWidth="1"/>
    <col min="14852" max="14852" width="5.42578125" customWidth="1"/>
    <col min="14853" max="14853" width="7" customWidth="1"/>
    <col min="14854" max="14854" width="7.85546875" customWidth="1"/>
    <col min="14855" max="14855" width="7.42578125" customWidth="1"/>
    <col min="14856" max="14856" width="7" customWidth="1"/>
    <col min="15098" max="15098" width="38.85546875" customWidth="1"/>
    <col min="15099" max="15099" width="8" customWidth="1"/>
    <col min="15100" max="15100" width="10.42578125" customWidth="1"/>
    <col min="15101" max="15101" width="14.28515625" customWidth="1"/>
    <col min="15102" max="15103" width="0" hidden="1" customWidth="1"/>
    <col min="15104" max="15104" width="15.7109375" customWidth="1"/>
    <col min="15105" max="15105" width="9.140625" customWidth="1"/>
    <col min="15106" max="15106" width="7.140625" customWidth="1"/>
    <col min="15107" max="15107" width="5" customWidth="1"/>
    <col min="15108" max="15108" width="5.42578125" customWidth="1"/>
    <col min="15109" max="15109" width="7" customWidth="1"/>
    <col min="15110" max="15110" width="7.85546875" customWidth="1"/>
    <col min="15111" max="15111" width="7.42578125" customWidth="1"/>
    <col min="15112" max="15112" width="7" customWidth="1"/>
    <col min="15354" max="15354" width="38.85546875" customWidth="1"/>
    <col min="15355" max="15355" width="8" customWidth="1"/>
    <col min="15356" max="15356" width="10.42578125" customWidth="1"/>
    <col min="15357" max="15357" width="14.28515625" customWidth="1"/>
    <col min="15358" max="15359" width="0" hidden="1" customWidth="1"/>
    <col min="15360" max="15360" width="15.7109375" customWidth="1"/>
    <col min="15361" max="15361" width="9.140625" customWidth="1"/>
    <col min="15362" max="15362" width="7.140625" customWidth="1"/>
    <col min="15363" max="15363" width="5" customWidth="1"/>
    <col min="15364" max="15364" width="5.42578125" customWidth="1"/>
    <col min="15365" max="15365" width="7" customWidth="1"/>
    <col min="15366" max="15366" width="7.85546875" customWidth="1"/>
    <col min="15367" max="15367" width="7.42578125" customWidth="1"/>
    <col min="15368" max="15368" width="7" customWidth="1"/>
    <col min="15610" max="15610" width="38.85546875" customWidth="1"/>
    <col min="15611" max="15611" width="8" customWidth="1"/>
    <col min="15612" max="15612" width="10.42578125" customWidth="1"/>
    <col min="15613" max="15613" width="14.28515625" customWidth="1"/>
    <col min="15614" max="15615" width="0" hidden="1" customWidth="1"/>
    <col min="15616" max="15616" width="15.7109375" customWidth="1"/>
    <col min="15617" max="15617" width="9.140625" customWidth="1"/>
    <col min="15618" max="15618" width="7.140625" customWidth="1"/>
    <col min="15619" max="15619" width="5" customWidth="1"/>
    <col min="15620" max="15620" width="5.42578125" customWidth="1"/>
    <col min="15621" max="15621" width="7" customWidth="1"/>
    <col min="15622" max="15622" width="7.85546875" customWidth="1"/>
    <col min="15623" max="15623" width="7.42578125" customWidth="1"/>
    <col min="15624" max="15624" width="7" customWidth="1"/>
    <col min="15866" max="15866" width="38.85546875" customWidth="1"/>
    <col min="15867" max="15867" width="8" customWidth="1"/>
    <col min="15868" max="15868" width="10.42578125" customWidth="1"/>
    <col min="15869" max="15869" width="14.28515625" customWidth="1"/>
    <col min="15870" max="15871" width="0" hidden="1" customWidth="1"/>
    <col min="15872" max="15872" width="15.7109375" customWidth="1"/>
    <col min="15873" max="15873" width="9.140625" customWidth="1"/>
    <col min="15874" max="15874" width="7.140625" customWidth="1"/>
    <col min="15875" max="15875" width="5" customWidth="1"/>
    <col min="15876" max="15876" width="5.42578125" customWidth="1"/>
    <col min="15877" max="15877" width="7" customWidth="1"/>
    <col min="15878" max="15878" width="7.85546875" customWidth="1"/>
    <col min="15879" max="15879" width="7.42578125" customWidth="1"/>
    <col min="15880" max="15880" width="7" customWidth="1"/>
    <col min="16122" max="16122" width="38.85546875" customWidth="1"/>
    <col min="16123" max="16123" width="8" customWidth="1"/>
    <col min="16124" max="16124" width="10.42578125" customWidth="1"/>
    <col min="16125" max="16125" width="14.28515625" customWidth="1"/>
    <col min="16126" max="16127" width="0" hidden="1" customWidth="1"/>
    <col min="16128" max="16128" width="15.7109375" customWidth="1"/>
    <col min="16129" max="16129" width="9.140625" customWidth="1"/>
    <col min="16130" max="16130" width="7.140625" customWidth="1"/>
    <col min="16131" max="16131" width="5" customWidth="1"/>
    <col min="16132" max="16132" width="5.42578125" customWidth="1"/>
    <col min="16133" max="16133" width="7" customWidth="1"/>
    <col min="16134" max="16134" width="7.85546875" customWidth="1"/>
    <col min="16135" max="16135" width="7.42578125" customWidth="1"/>
    <col min="16136" max="16136" width="7" customWidth="1"/>
  </cols>
  <sheetData>
    <row r="1" spans="1:11" ht="26.25" customHeight="1">
      <c r="A1" s="3"/>
      <c r="C1" s="5"/>
      <c r="D1" s="180" t="s">
        <v>384</v>
      </c>
      <c r="E1" s="180"/>
      <c r="F1" s="180"/>
      <c r="G1" s="180"/>
    </row>
    <row r="2" spans="1:11" ht="114.75" customHeight="1">
      <c r="A2" s="3"/>
      <c r="C2" s="143"/>
      <c r="D2" s="174" t="s">
        <v>416</v>
      </c>
      <c r="E2" s="174"/>
      <c r="F2" s="174"/>
      <c r="G2" s="174"/>
    </row>
    <row r="3" spans="1:11" ht="11.25" customHeight="1">
      <c r="A3" s="3"/>
      <c r="C3" s="181"/>
      <c r="D3" s="181"/>
      <c r="E3" s="181"/>
      <c r="F3" s="181"/>
      <c r="G3" s="181"/>
    </row>
    <row r="4" spans="1:11" ht="17.25" hidden="1" customHeight="1">
      <c r="A4" s="3"/>
      <c r="C4" s="6"/>
      <c r="D4" s="181"/>
      <c r="E4" s="181"/>
      <c r="F4" s="181"/>
      <c r="G4" s="181"/>
    </row>
    <row r="5" spans="1:11" ht="56.25" customHeight="1">
      <c r="A5" s="183" t="s">
        <v>396</v>
      </c>
      <c r="B5" s="183"/>
      <c r="C5" s="183"/>
      <c r="D5" s="183"/>
      <c r="E5" s="183"/>
      <c r="F5" s="183"/>
      <c r="G5" s="183"/>
    </row>
    <row r="6" spans="1:11" ht="12.75" customHeight="1">
      <c r="A6" s="184" t="s">
        <v>94</v>
      </c>
      <c r="B6" s="184" t="s">
        <v>95</v>
      </c>
      <c r="C6" s="184" t="s">
        <v>96</v>
      </c>
      <c r="D6" s="182" t="s">
        <v>385</v>
      </c>
      <c r="E6" s="182" t="s">
        <v>97</v>
      </c>
      <c r="F6" s="182" t="s">
        <v>98</v>
      </c>
      <c r="G6" s="179" t="s">
        <v>395</v>
      </c>
      <c r="H6" s="179" t="s">
        <v>387</v>
      </c>
      <c r="I6" s="179" t="s">
        <v>389</v>
      </c>
    </row>
    <row r="7" spans="1:11">
      <c r="A7" s="184"/>
      <c r="B7" s="184"/>
      <c r="C7" s="184"/>
      <c r="D7" s="182"/>
      <c r="E7" s="182"/>
      <c r="F7" s="182"/>
      <c r="G7" s="179"/>
      <c r="H7" s="179"/>
      <c r="I7" s="179"/>
    </row>
    <row r="8" spans="1:11" ht="56.25" customHeight="1">
      <c r="A8" s="184"/>
      <c r="B8" s="184"/>
      <c r="C8" s="184"/>
      <c r="D8" s="182"/>
      <c r="E8" s="182"/>
      <c r="F8" s="182"/>
      <c r="G8" s="179"/>
      <c r="H8" s="179"/>
      <c r="I8" s="179"/>
      <c r="J8" s="124"/>
      <c r="K8" s="124"/>
    </row>
    <row r="9" spans="1:11">
      <c r="A9" s="7" t="s">
        <v>100</v>
      </c>
      <c r="B9" s="8" t="s">
        <v>101</v>
      </c>
      <c r="C9" s="8"/>
      <c r="D9" s="122">
        <f>SUM(D10:D15)</f>
        <v>12741.36</v>
      </c>
      <c r="E9" s="10" t="e">
        <f>SUM(E10:E15)</f>
        <v>#REF!</v>
      </c>
      <c r="F9" s="10">
        <f>SUM(F10:F15)</f>
        <v>12331.329999999998</v>
      </c>
      <c r="G9" s="101">
        <f>SUM(G10:G15)</f>
        <v>11975.021940000001</v>
      </c>
      <c r="H9" s="9">
        <f t="shared" ref="H9" si="0">SUM(H10:H15)</f>
        <v>0</v>
      </c>
      <c r="I9" s="111">
        <f>G9/D9</f>
        <v>0.93985429655860908</v>
      </c>
    </row>
    <row r="10" spans="1:11" ht="30">
      <c r="A10" s="11" t="s">
        <v>102</v>
      </c>
      <c r="B10" s="12"/>
      <c r="C10" s="12" t="s">
        <v>69</v>
      </c>
      <c r="D10" s="166">
        <v>110</v>
      </c>
      <c r="E10" s="13" t="e">
        <f>D10+H10+#REF!+#REF!</f>
        <v>#REF!</v>
      </c>
      <c r="F10" s="13">
        <v>110</v>
      </c>
      <c r="G10" s="120">
        <v>0</v>
      </c>
      <c r="H10" s="13"/>
      <c r="I10" s="112">
        <f t="shared" ref="I10:I43" si="1">G10/D10</f>
        <v>0</v>
      </c>
    </row>
    <row r="11" spans="1:11" ht="30">
      <c r="A11" s="11" t="s">
        <v>103</v>
      </c>
      <c r="B11" s="12"/>
      <c r="C11" s="12" t="s">
        <v>68</v>
      </c>
      <c r="D11" s="166">
        <f>4488.76+1442.4+1112.89+318.32+1022.32+344.91+0.5+97.27+7.5+64.16+137.98+6.1+392.7+79+3+323.89+581.26+6.5</f>
        <v>10429.460000000001</v>
      </c>
      <c r="E11" s="13" t="e">
        <f>D11+H11+#REF!+#REF!</f>
        <v>#REF!</v>
      </c>
      <c r="F11" s="13">
        <v>10301.959999999999</v>
      </c>
      <c r="G11" s="120">
        <f>4458.92014+1437.04044+1089.17782+270.78222+1003.13042+300.60933+0.37752+88.65232+6.808+64.16+137.39872+5.07767+355.37031+71.18122+1.52885+320.82221+508.20995+6.5</f>
        <v>10125.747140000001</v>
      </c>
      <c r="H11" s="13"/>
      <c r="I11" s="112">
        <f t="shared" si="1"/>
        <v>0.97087933028172124</v>
      </c>
    </row>
    <row r="12" spans="1:11" ht="30" hidden="1" outlineLevel="1">
      <c r="A12" s="11" t="s">
        <v>104</v>
      </c>
      <c r="B12" s="12"/>
      <c r="C12" s="12" t="s">
        <v>105</v>
      </c>
      <c r="D12" s="166">
        <v>0</v>
      </c>
      <c r="E12" s="13" t="e">
        <f>D12+H12+#REF!+#REF!</f>
        <v>#REF!</v>
      </c>
      <c r="F12" s="13"/>
      <c r="G12" s="120">
        <v>0</v>
      </c>
      <c r="H12" s="13"/>
      <c r="I12" s="112"/>
    </row>
    <row r="13" spans="1:11" hidden="1" outlineLevel="1">
      <c r="A13" s="11" t="s">
        <v>106</v>
      </c>
      <c r="B13" s="12"/>
      <c r="C13" s="12" t="s">
        <v>75</v>
      </c>
      <c r="D13" s="166">
        <v>0</v>
      </c>
      <c r="E13" s="13" t="e">
        <f>D13+H13+#REF!+#REF!</f>
        <v>#REF!</v>
      </c>
      <c r="F13" s="13"/>
      <c r="G13" s="120">
        <v>0</v>
      </c>
      <c r="H13" s="13"/>
      <c r="I13" s="112"/>
    </row>
    <row r="14" spans="1:11" collapsed="1">
      <c r="A14" s="11" t="s">
        <v>71</v>
      </c>
      <c r="B14" s="12"/>
      <c r="C14" s="12" t="s">
        <v>72</v>
      </c>
      <c r="D14" s="166">
        <v>100</v>
      </c>
      <c r="E14" s="13" t="e">
        <f>D14+H14+#REF!+#REF!</f>
        <v>#REF!</v>
      </c>
      <c r="F14" s="13">
        <v>100</v>
      </c>
      <c r="G14" s="120">
        <v>0</v>
      </c>
      <c r="H14" s="13"/>
      <c r="I14" s="112">
        <f t="shared" si="1"/>
        <v>0</v>
      </c>
    </row>
    <row r="15" spans="1:11">
      <c r="A15" s="11" t="s">
        <v>107</v>
      </c>
      <c r="B15" s="12"/>
      <c r="C15" s="12" t="s">
        <v>70</v>
      </c>
      <c r="D15" s="166">
        <f>1+112.7+47.2+8.7+33.88+42.87+63.5+101.66+295+22.8+412.31+21.99+75.1+59.76+112+61.73+41.1+535+53.6</f>
        <v>2101.8999999999996</v>
      </c>
      <c r="E15" s="13" t="e">
        <f>D15+H15+#REF!+#REF!</f>
        <v>#REF!</v>
      </c>
      <c r="F15" s="13">
        <v>1819.37</v>
      </c>
      <c r="G15" s="120">
        <f>1+112.7+47.2+8.7+33.88+42.87+63.5+101.66+141+18.8+410.02422+21.99+70.86888+51.28+112+61.71848+38.35+458.23322+53.5</f>
        <v>1849.2747999999999</v>
      </c>
      <c r="H15" s="13"/>
      <c r="I15" s="112">
        <f t="shared" si="1"/>
        <v>0.87981102811741774</v>
      </c>
    </row>
    <row r="16" spans="1:11">
      <c r="A16" s="7" t="s">
        <v>108</v>
      </c>
      <c r="B16" s="8" t="s">
        <v>109</v>
      </c>
      <c r="C16" s="8"/>
      <c r="D16" s="122">
        <f>D17</f>
        <v>297.53000000000009</v>
      </c>
      <c r="E16" s="14" t="e">
        <f>E17</f>
        <v>#REF!</v>
      </c>
      <c r="F16" s="14">
        <f>F17</f>
        <v>306.18</v>
      </c>
      <c r="G16" s="123">
        <f>SUM(G17)</f>
        <v>297.53000000000009</v>
      </c>
      <c r="H16" s="15">
        <f t="shared" ref="H16" si="2">H17</f>
        <v>0</v>
      </c>
      <c r="I16" s="111">
        <f t="shared" si="1"/>
        <v>1</v>
      </c>
    </row>
    <row r="17" spans="1:9" ht="30">
      <c r="A17" s="11" t="s">
        <v>110</v>
      </c>
      <c r="B17" s="12"/>
      <c r="C17" s="12" t="s">
        <v>76</v>
      </c>
      <c r="D17" s="166">
        <f>214.86284+65.76877+2.35+3.6+0.10575+10.84264</f>
        <v>297.53000000000009</v>
      </c>
      <c r="E17" s="13" t="e">
        <f>D17+H17+#REF!+#REF!</f>
        <v>#REF!</v>
      </c>
      <c r="F17" s="13">
        <v>306.18</v>
      </c>
      <c r="G17" s="121">
        <f>214.86284+65.76877+2.35+3.6+0.10575+10.84264</f>
        <v>297.53000000000009</v>
      </c>
      <c r="H17" s="13"/>
      <c r="I17" s="112">
        <f t="shared" si="1"/>
        <v>1</v>
      </c>
    </row>
    <row r="18" spans="1:9" ht="28.5">
      <c r="A18" s="7" t="s">
        <v>111</v>
      </c>
      <c r="B18" s="8" t="s">
        <v>112</v>
      </c>
      <c r="C18" s="8"/>
      <c r="D18" s="122">
        <f>SUM(D19:D21)</f>
        <v>160</v>
      </c>
      <c r="E18" s="10" t="e">
        <f>SUM(E19:E21)</f>
        <v>#REF!</v>
      </c>
      <c r="F18" s="10">
        <f>SUM(F19:F21)</f>
        <v>160</v>
      </c>
      <c r="G18" s="101">
        <f>SUM(G19:G21)</f>
        <v>56.562529999999995</v>
      </c>
      <c r="H18" s="9">
        <f t="shared" ref="H18" si="3">SUM(H19:H21)</f>
        <v>0</v>
      </c>
      <c r="I18" s="111">
        <f t="shared" si="1"/>
        <v>0.35351581249999997</v>
      </c>
    </row>
    <row r="19" spans="1:9" ht="60">
      <c r="A19" s="11" t="s">
        <v>113</v>
      </c>
      <c r="B19" s="12"/>
      <c r="C19" s="12" t="s">
        <v>16</v>
      </c>
      <c r="D19" s="166">
        <v>100</v>
      </c>
      <c r="E19" s="100" t="e">
        <f>D19+H19+#REF!+#REF!</f>
        <v>#REF!</v>
      </c>
      <c r="F19" s="100">
        <v>100</v>
      </c>
      <c r="G19" s="121">
        <v>21.4</v>
      </c>
      <c r="H19" s="13"/>
      <c r="I19" s="112">
        <f t="shared" si="1"/>
        <v>0.214</v>
      </c>
    </row>
    <row r="20" spans="1:9" ht="22.5" customHeight="1">
      <c r="A20" s="11" t="s">
        <v>20</v>
      </c>
      <c r="B20" s="12"/>
      <c r="C20" s="12" t="s">
        <v>21</v>
      </c>
      <c r="D20" s="166">
        <v>50</v>
      </c>
      <c r="E20" s="100" t="e">
        <f>D20+H20+#REF!+#REF!</f>
        <v>#REF!</v>
      </c>
      <c r="F20" s="100">
        <v>50</v>
      </c>
      <c r="G20" s="121">
        <v>25.16253</v>
      </c>
      <c r="H20" s="13"/>
      <c r="I20" s="112">
        <f t="shared" si="1"/>
        <v>0.50325059999999999</v>
      </c>
    </row>
    <row r="21" spans="1:9" ht="30">
      <c r="A21" s="16" t="s">
        <v>25</v>
      </c>
      <c r="B21" s="17"/>
      <c r="C21" s="12" t="s">
        <v>24</v>
      </c>
      <c r="D21" s="166">
        <v>10</v>
      </c>
      <c r="E21" s="100" t="e">
        <f>D21+H21+#REF!+#REF!</f>
        <v>#REF!</v>
      </c>
      <c r="F21" s="100">
        <v>10</v>
      </c>
      <c r="G21" s="121">
        <v>10</v>
      </c>
      <c r="H21" s="13"/>
      <c r="I21" s="112">
        <f t="shared" si="1"/>
        <v>1</v>
      </c>
    </row>
    <row r="22" spans="1:9">
      <c r="A22" s="7" t="s">
        <v>114</v>
      </c>
      <c r="B22" s="8" t="s">
        <v>115</v>
      </c>
      <c r="C22" s="8"/>
      <c r="D22" s="122">
        <f>SUM(D23:D28)</f>
        <v>8529.5522999999994</v>
      </c>
      <c r="E22" s="10" t="e">
        <f>SUM(E23:E28)</f>
        <v>#REF!</v>
      </c>
      <c r="F22" s="10">
        <f>SUM(F23:F28)</f>
        <v>7547.5522999999994</v>
      </c>
      <c r="G22" s="101">
        <f>SUM(G23:G28)</f>
        <v>7783.1863599999997</v>
      </c>
      <c r="H22" s="9">
        <f t="shared" ref="H22" si="4">SUM(H23:H28)</f>
        <v>0</v>
      </c>
      <c r="I22" s="111">
        <f t="shared" si="1"/>
        <v>0.9124964694805846</v>
      </c>
    </row>
    <row r="23" spans="1:9">
      <c r="A23" s="16" t="s">
        <v>10</v>
      </c>
      <c r="B23" s="12"/>
      <c r="C23" s="12" t="s">
        <v>11</v>
      </c>
      <c r="D23" s="166">
        <v>10</v>
      </c>
      <c r="E23" s="13" t="e">
        <f>D23+H23+#REF!+#REF!</f>
        <v>#REF!</v>
      </c>
      <c r="F23" s="13">
        <v>10</v>
      </c>
      <c r="G23" s="120">
        <v>9.4499999999999993</v>
      </c>
      <c r="H23" s="13"/>
      <c r="I23" s="112">
        <f t="shared" si="1"/>
        <v>0.94499999999999995</v>
      </c>
    </row>
    <row r="24" spans="1:9" hidden="1" outlineLevel="1">
      <c r="A24" s="11" t="s">
        <v>116</v>
      </c>
      <c r="B24" s="12"/>
      <c r="C24" s="12" t="s">
        <v>117</v>
      </c>
      <c r="D24" s="166">
        <v>0</v>
      </c>
      <c r="E24" s="13" t="e">
        <f>D24+H24+#REF!+#REF!</f>
        <v>#REF!</v>
      </c>
      <c r="F24" s="13"/>
      <c r="G24" s="120">
        <v>0</v>
      </c>
      <c r="H24" s="13"/>
      <c r="I24" s="112" t="e">
        <f t="shared" si="1"/>
        <v>#DIV/0!</v>
      </c>
    </row>
    <row r="25" spans="1:9" collapsed="1">
      <c r="A25" s="11" t="s">
        <v>118</v>
      </c>
      <c r="B25" s="12"/>
      <c r="C25" s="12" t="s">
        <v>13</v>
      </c>
      <c r="D25" s="166">
        <v>10</v>
      </c>
      <c r="E25" s="13" t="e">
        <f>D25+H25+#REF!+#REF!</f>
        <v>#REF!</v>
      </c>
      <c r="F25" s="13">
        <v>10</v>
      </c>
      <c r="G25" s="120">
        <v>10</v>
      </c>
      <c r="H25" s="13"/>
      <c r="I25" s="112">
        <f t="shared" si="1"/>
        <v>1</v>
      </c>
    </row>
    <row r="26" spans="1:9">
      <c r="A26" s="11" t="s">
        <v>119</v>
      </c>
      <c r="B26" s="12"/>
      <c r="C26" s="12" t="s">
        <v>43</v>
      </c>
      <c r="D26" s="167">
        <f>482.34+104.42283+612.9186+935.0814+100+3813.28947+800+949.5</f>
        <v>7797.5523000000003</v>
      </c>
      <c r="E26" s="13">
        <f t="shared" ref="E26:F26" si="5">482.34+104.42283+537.12+662.88+100+4161.28947+949.5</f>
        <v>6997.5522999999994</v>
      </c>
      <c r="F26" s="13">
        <f t="shared" si="5"/>
        <v>6997.5522999999994</v>
      </c>
      <c r="G26" s="120">
        <f>482.34+104.42283+489.9176+835.0514+100+3361.39411+800+949.5</f>
        <v>7122.6259399999999</v>
      </c>
      <c r="H26" s="13"/>
      <c r="I26" s="112">
        <f t="shared" si="1"/>
        <v>0.91344381749129144</v>
      </c>
    </row>
    <row r="27" spans="1:9">
      <c r="A27" s="11" t="s">
        <v>2</v>
      </c>
      <c r="B27" s="12"/>
      <c r="C27" s="12" t="s">
        <v>3</v>
      </c>
      <c r="D27" s="166">
        <v>336</v>
      </c>
      <c r="E27" s="13" t="e">
        <f>D27+H27+#REF!+#REF!</f>
        <v>#REF!</v>
      </c>
      <c r="F27" s="13">
        <v>300</v>
      </c>
      <c r="G27" s="120">
        <v>325.11041999999998</v>
      </c>
      <c r="H27" s="13"/>
      <c r="I27" s="112">
        <f t="shared" si="1"/>
        <v>0.96759053571428566</v>
      </c>
    </row>
    <row r="28" spans="1:9" ht="30">
      <c r="A28" s="11" t="s">
        <v>5</v>
      </c>
      <c r="B28" s="12"/>
      <c r="C28" s="12" t="s">
        <v>6</v>
      </c>
      <c r="D28" s="166">
        <f>30+346</f>
        <v>376</v>
      </c>
      <c r="E28" s="13" t="e">
        <f>D28+H28+#REF!+#REF!</f>
        <v>#REF!</v>
      </c>
      <c r="F28" s="13">
        <v>230</v>
      </c>
      <c r="G28" s="121">
        <f>20+296</f>
        <v>316</v>
      </c>
      <c r="H28" s="13"/>
      <c r="I28" s="112">
        <f t="shared" si="1"/>
        <v>0.84042553191489366</v>
      </c>
    </row>
    <row r="29" spans="1:9" ht="15" customHeight="1">
      <c r="A29" s="7" t="s">
        <v>120</v>
      </c>
      <c r="B29" s="8" t="s">
        <v>121</v>
      </c>
      <c r="C29" s="8"/>
      <c r="D29" s="122">
        <f>SUM(D30:D33)</f>
        <v>8057</v>
      </c>
      <c r="E29" s="10" t="e">
        <f>SUM(E30:E33)</f>
        <v>#REF!</v>
      </c>
      <c r="F29" s="10">
        <f>SUM(F30:F33)</f>
        <v>5512</v>
      </c>
      <c r="G29" s="101">
        <f>SUM(G30:G32)</f>
        <v>7260.7442899999996</v>
      </c>
      <c r="H29" s="9">
        <f t="shared" ref="H29" si="6">SUM(H30:H33)</f>
        <v>0</v>
      </c>
      <c r="I29" s="111">
        <f t="shared" si="1"/>
        <v>0.9011721844358942</v>
      </c>
    </row>
    <row r="30" spans="1:9">
      <c r="A30" s="11" t="s">
        <v>122</v>
      </c>
      <c r="B30" s="12"/>
      <c r="C30" s="12" t="s">
        <v>28</v>
      </c>
      <c r="D30" s="166">
        <f>235+970</f>
        <v>1205</v>
      </c>
      <c r="E30" s="13" t="e">
        <f>D30+H30+#REF!+#REF!</f>
        <v>#REF!</v>
      </c>
      <c r="F30" s="13">
        <v>885</v>
      </c>
      <c r="G30" s="120">
        <f>204.63853+951.30873</f>
        <v>1155.9472599999999</v>
      </c>
      <c r="H30" s="13"/>
      <c r="I30" s="112">
        <f t="shared" si="1"/>
        <v>0.95929233195020736</v>
      </c>
    </row>
    <row r="31" spans="1:9">
      <c r="A31" s="11" t="s">
        <v>123</v>
      </c>
      <c r="B31" s="12"/>
      <c r="C31" s="12" t="s">
        <v>32</v>
      </c>
      <c r="D31" s="166">
        <f>115+85+185</f>
        <v>385</v>
      </c>
      <c r="E31" s="13" t="e">
        <f>D31+H31+#REF!+#REF!</f>
        <v>#REF!</v>
      </c>
      <c r="F31" s="13">
        <v>185</v>
      </c>
      <c r="G31" s="120">
        <f>106.56398+154.7659</f>
        <v>261.32988</v>
      </c>
      <c r="H31" s="13"/>
      <c r="I31" s="112">
        <f t="shared" si="1"/>
        <v>0.6787789090909091</v>
      </c>
    </row>
    <row r="32" spans="1:9">
      <c r="A32" s="11" t="s">
        <v>34</v>
      </c>
      <c r="B32" s="12"/>
      <c r="C32" s="12" t="s">
        <v>35</v>
      </c>
      <c r="D32" s="166">
        <f>50+200+1055+93.19943+6.80057+50+96+190+3120.752+10+132.01+283.828+679.41+99.5+301.5+99</f>
        <v>6467</v>
      </c>
      <c r="E32" s="13" t="e">
        <f>D32+H32+#REF!+#REF!</f>
        <v>#REF!</v>
      </c>
      <c r="F32" s="13">
        <v>4442</v>
      </c>
      <c r="G32" s="120">
        <f>50+200+1055+93.19943+6.80057+50+96+190+2779.78471+10+283.828+529.09914+99.5+301.2553+99</f>
        <v>5843.4671499999995</v>
      </c>
      <c r="H32" s="13"/>
      <c r="I32" s="112">
        <f t="shared" si="1"/>
        <v>0.90358236431111794</v>
      </c>
    </row>
    <row r="33" spans="1:9" hidden="1" outlineLevel="1">
      <c r="A33" s="11" t="s">
        <v>124</v>
      </c>
      <c r="B33" s="12"/>
      <c r="C33" s="12" t="s">
        <v>125</v>
      </c>
      <c r="D33" s="166">
        <v>0</v>
      </c>
      <c r="E33" s="13" t="e">
        <f>D33+H33+#REF!+#REF!</f>
        <v>#REF!</v>
      </c>
      <c r="F33" s="13"/>
      <c r="G33" s="120">
        <v>0</v>
      </c>
      <c r="H33" s="13"/>
      <c r="I33" s="112"/>
    </row>
    <row r="34" spans="1:9" collapsed="1">
      <c r="A34" s="7" t="s">
        <v>126</v>
      </c>
      <c r="B34" s="8" t="s">
        <v>127</v>
      </c>
      <c r="C34" s="8"/>
      <c r="D34" s="122">
        <f>D35</f>
        <v>335.42527000000001</v>
      </c>
      <c r="E34" s="14" t="e">
        <f>E35</f>
        <v>#REF!</v>
      </c>
      <c r="F34" s="14">
        <f>F35</f>
        <v>335.65800000000002</v>
      </c>
      <c r="G34" s="101">
        <f>SUM(G35)</f>
        <v>333.72240000000005</v>
      </c>
      <c r="H34" s="9">
        <f t="shared" ref="H34" si="7">H35</f>
        <v>0</v>
      </c>
      <c r="I34" s="111">
        <f t="shared" si="1"/>
        <v>0.99492325071393706</v>
      </c>
    </row>
    <row r="35" spans="1:9" ht="30">
      <c r="A35" s="11" t="s">
        <v>60</v>
      </c>
      <c r="B35" s="12"/>
      <c r="C35" s="12" t="s">
        <v>61</v>
      </c>
      <c r="D35" s="168">
        <f>30+40+220+45.42527</f>
        <v>335.42527000000001</v>
      </c>
      <c r="E35" s="13" t="e">
        <f>D35+H35+#REF!+#REF!</f>
        <v>#REF!</v>
      </c>
      <c r="F35" s="13">
        <v>335.65800000000002</v>
      </c>
      <c r="G35" s="121">
        <f>30+38.626+219.67113+45.42527</f>
        <v>333.72240000000005</v>
      </c>
      <c r="H35" s="100"/>
      <c r="I35" s="112">
        <f t="shared" si="1"/>
        <v>0.99492325071393706</v>
      </c>
    </row>
    <row r="36" spans="1:9">
      <c r="A36" s="7" t="s">
        <v>128</v>
      </c>
      <c r="B36" s="8" t="s">
        <v>129</v>
      </c>
      <c r="C36" s="8"/>
      <c r="D36" s="122">
        <f>D37</f>
        <v>14488.977699999999</v>
      </c>
      <c r="E36" s="14" t="e">
        <f>E37</f>
        <v>#REF!</v>
      </c>
      <c r="F36" s="14">
        <f>F37</f>
        <v>12831.39</v>
      </c>
      <c r="G36" s="101">
        <f>SUM(G37)</f>
        <v>14474.197699999997</v>
      </c>
      <c r="H36" s="9">
        <f t="shared" ref="H36" si="8">H37</f>
        <v>0</v>
      </c>
      <c r="I36" s="111">
        <f t="shared" si="1"/>
        <v>0.998979914228179</v>
      </c>
    </row>
    <row r="37" spans="1:9">
      <c r="A37" s="11" t="s">
        <v>130</v>
      </c>
      <c r="B37" s="12"/>
      <c r="C37" s="12" t="s">
        <v>53</v>
      </c>
      <c r="D37" s="166">
        <f>8852.96+19.89+647.65+75.89+25+60.95+149.05+184.2877+908.912+76.688+2712.7+775</f>
        <v>14488.977699999999</v>
      </c>
      <c r="E37" s="13" t="e">
        <f>D37+H37+#REF!+#REF!</f>
        <v>#REF!</v>
      </c>
      <c r="F37" s="13">
        <v>12831.39</v>
      </c>
      <c r="G37" s="120">
        <f>8852.96+19.89+647.65+75.89+18.3+60.95+140.97+184.2877+908.912+76.688+2712.7+775</f>
        <v>14474.197699999997</v>
      </c>
      <c r="H37" s="13"/>
      <c r="I37" s="112">
        <f t="shared" si="1"/>
        <v>0.998979914228179</v>
      </c>
    </row>
    <row r="38" spans="1:9">
      <c r="A38" s="7" t="s">
        <v>131</v>
      </c>
      <c r="B38" s="8" t="s">
        <v>132</v>
      </c>
      <c r="C38" s="8"/>
      <c r="D38" s="122">
        <f>D39</f>
        <v>1023.52</v>
      </c>
      <c r="E38" s="14" t="e">
        <f>E39</f>
        <v>#REF!</v>
      </c>
      <c r="F38" s="14">
        <f>F39</f>
        <v>1023.52</v>
      </c>
      <c r="G38" s="101">
        <f>SUM(G39)</f>
        <v>1021.92</v>
      </c>
      <c r="H38" s="9">
        <f t="shared" ref="H38" si="9">H39</f>
        <v>0</v>
      </c>
      <c r="I38" s="111">
        <f t="shared" si="1"/>
        <v>0.99843676723464125</v>
      </c>
    </row>
    <row r="39" spans="1:9">
      <c r="A39" s="11" t="s">
        <v>73</v>
      </c>
      <c r="B39" s="12"/>
      <c r="C39" s="12" t="s">
        <v>74</v>
      </c>
      <c r="D39" s="166">
        <v>1023.52</v>
      </c>
      <c r="E39" s="13" t="e">
        <f>D39+H39+#REF!+#REF!</f>
        <v>#REF!</v>
      </c>
      <c r="F39" s="13">
        <v>1023.52</v>
      </c>
      <c r="G39" s="120">
        <v>1021.92</v>
      </c>
      <c r="H39" s="13"/>
      <c r="I39" s="112">
        <f t="shared" si="1"/>
        <v>0.99843676723464125</v>
      </c>
    </row>
    <row r="40" spans="1:9">
      <c r="A40" s="7" t="s">
        <v>133</v>
      </c>
      <c r="B40" s="8" t="s">
        <v>134</v>
      </c>
      <c r="C40" s="8"/>
      <c r="D40" s="122">
        <f>SUM(D41:D42)</f>
        <v>3314</v>
      </c>
      <c r="E40" s="10" t="e">
        <f>SUM(E41:E42)</f>
        <v>#REF!</v>
      </c>
      <c r="F40" s="10">
        <f>SUM(F41:F42)</f>
        <v>2885</v>
      </c>
      <c r="G40" s="101">
        <f>SUM(G41:G42)</f>
        <v>1392.1799999999998</v>
      </c>
      <c r="H40" s="9">
        <f t="shared" ref="H40" si="10">SUM(H41:H42)</f>
        <v>0</v>
      </c>
      <c r="I40" s="111">
        <f t="shared" si="1"/>
        <v>0.42009052504526245</v>
      </c>
    </row>
    <row r="41" spans="1:9">
      <c r="A41" s="16" t="s">
        <v>90</v>
      </c>
      <c r="B41" s="17"/>
      <c r="C41" s="12" t="s">
        <v>91</v>
      </c>
      <c r="D41" s="166">
        <v>429</v>
      </c>
      <c r="E41" s="13" t="e">
        <f>D41+H41+#REF!+#REF!</f>
        <v>#REF!</v>
      </c>
      <c r="F41" s="13">
        <v>0</v>
      </c>
      <c r="G41" s="120">
        <v>429</v>
      </c>
      <c r="H41" s="13"/>
      <c r="I41" s="112">
        <f t="shared" si="1"/>
        <v>1</v>
      </c>
    </row>
    <row r="42" spans="1:9">
      <c r="A42" s="11" t="s">
        <v>55</v>
      </c>
      <c r="B42" s="12"/>
      <c r="C42" s="12" t="s">
        <v>56</v>
      </c>
      <c r="D42" s="166">
        <f>855+10+90+30+1900</f>
        <v>2885</v>
      </c>
      <c r="E42" s="13" t="e">
        <f>D42+H42+#REF!+#REF!</f>
        <v>#REF!</v>
      </c>
      <c r="F42" s="13">
        <v>2885</v>
      </c>
      <c r="G42" s="120">
        <f>855+7.8+75.88+24.5</f>
        <v>963.18</v>
      </c>
      <c r="H42" s="13"/>
      <c r="I42" s="112">
        <f t="shared" si="1"/>
        <v>0.33385788561525126</v>
      </c>
    </row>
    <row r="43" spans="1:9">
      <c r="A43" s="18" t="s">
        <v>135</v>
      </c>
      <c r="B43" s="18"/>
      <c r="C43" s="18"/>
      <c r="D43" s="101">
        <f>D9+D16+D18+D22+D29+D34+D36+D38+D40</f>
        <v>48947.365270000002</v>
      </c>
      <c r="E43" s="14" t="e">
        <f>E9+E16+E18+E22+E29+E34+E36+E38+E40</f>
        <v>#REF!</v>
      </c>
      <c r="F43" s="14">
        <f>F9+F16+F18+F22+F29+F34+F36+F38+F40</f>
        <v>42932.630299999997</v>
      </c>
      <c r="G43" s="101">
        <f>G9+G16+G18+G22+G29+G34+G36+G38+G40</f>
        <v>44595.065219999997</v>
      </c>
      <c r="H43" s="101">
        <f t="shared" ref="H43" si="11">H9+H16+H18+H22+H29+H34+H36+H38+H40</f>
        <v>0</v>
      </c>
      <c r="I43" s="111">
        <f t="shared" si="1"/>
        <v>0.91108203626503381</v>
      </c>
    </row>
    <row r="44" spans="1:9">
      <c r="G44" s="125"/>
      <c r="H44" s="102">
        <f>SUM(H11:H40)</f>
        <v>0</v>
      </c>
    </row>
    <row r="45" spans="1:9">
      <c r="D45" s="165"/>
    </row>
  </sheetData>
  <mergeCells count="14">
    <mergeCell ref="H6:H8"/>
    <mergeCell ref="I6:I8"/>
    <mergeCell ref="D1:G1"/>
    <mergeCell ref="C3:G3"/>
    <mergeCell ref="D4:G4"/>
    <mergeCell ref="F6:F8"/>
    <mergeCell ref="G6:G8"/>
    <mergeCell ref="A5:G5"/>
    <mergeCell ref="A6:A8"/>
    <mergeCell ref="B6:B8"/>
    <mergeCell ref="C6:C8"/>
    <mergeCell ref="D6:D8"/>
    <mergeCell ref="E6:E8"/>
    <mergeCell ref="D2:G2"/>
  </mergeCells>
  <pageMargins left="0.9055118110236221" right="0.11811023622047245" top="0.35433070866141736" bottom="0.35433070866141736" header="0.31496062992125984" footer="0.31496062992125984"/>
  <pageSetup paperSize="9" scale="8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2"/>
  <sheetViews>
    <sheetView view="pageBreakPreview" topLeftCell="C1" zoomScale="70" zoomScaleNormal="100" zoomScaleSheetLayoutView="70" workbookViewId="0">
      <selection activeCell="S1" sqref="S1:V1048576"/>
    </sheetView>
  </sheetViews>
  <sheetFormatPr defaultRowHeight="12.75" outlineLevelRow="1"/>
  <cols>
    <col min="1" max="1" width="5.85546875" style="22" customWidth="1"/>
    <col min="2" max="2" width="32.85546875" style="22" customWidth="1"/>
    <col min="3" max="3" width="32" style="22" customWidth="1"/>
    <col min="4" max="4" width="11.28515625" style="22" bestFit="1" customWidth="1"/>
    <col min="5" max="5" width="8.140625" style="22" customWidth="1"/>
    <col min="6" max="6" width="7.85546875" style="22" customWidth="1"/>
    <col min="7" max="7" width="107.7109375" style="50" customWidth="1"/>
    <col min="8" max="8" width="9.140625" style="50" customWidth="1"/>
    <col min="9" max="9" width="12.5703125" style="50" customWidth="1"/>
    <col min="10" max="10" width="14.7109375" style="51" customWidth="1"/>
    <col min="11" max="11" width="12.140625" style="126" hidden="1" customWidth="1"/>
    <col min="12" max="12" width="11.28515625" style="126" hidden="1" customWidth="1"/>
    <col min="13" max="13" width="13.28515625" style="126" hidden="1" customWidth="1"/>
    <col min="14" max="14" width="9.140625" style="126" hidden="1" customWidth="1"/>
    <col min="15" max="15" width="9.28515625" style="126" hidden="1" customWidth="1" collapsed="1"/>
    <col min="16" max="16" width="2.28515625" style="126" hidden="1" customWidth="1"/>
    <col min="17" max="17" width="15.42578125" style="51" customWidth="1"/>
    <col min="18" max="18" width="13.5703125" style="113" customWidth="1"/>
    <col min="19" max="19" width="10.28515625" style="104" hidden="1" customWidth="1"/>
    <col min="20" max="22" width="0" style="104" hidden="1" customWidth="1"/>
    <col min="23" max="28" width="9.140625" style="104"/>
    <col min="29" max="256" width="9.140625" style="22"/>
    <col min="257" max="257" width="5.85546875" style="22" customWidth="1"/>
    <col min="258" max="258" width="32.85546875" style="22" customWidth="1"/>
    <col min="259" max="259" width="32" style="22" customWidth="1"/>
    <col min="260" max="260" width="11.28515625" style="22" bestFit="1" customWidth="1"/>
    <col min="261" max="261" width="8.140625" style="22" customWidth="1"/>
    <col min="262" max="262" width="7.28515625" style="22" customWidth="1"/>
    <col min="263" max="263" width="107.7109375" style="22" customWidth="1"/>
    <col min="264" max="264" width="9.140625" style="22" customWidth="1"/>
    <col min="265" max="265" width="12.5703125" style="22" customWidth="1"/>
    <col min="266" max="266" width="13.140625" style="22" customWidth="1"/>
    <col min="267" max="267" width="12.140625" style="22" customWidth="1"/>
    <col min="268" max="268" width="11.28515625" style="22" customWidth="1"/>
    <col min="269" max="269" width="12.140625" style="22" customWidth="1"/>
    <col min="270" max="270" width="9.140625" style="22" customWidth="1"/>
    <col min="271" max="271" width="9.28515625" style="22" customWidth="1"/>
    <col min="272" max="272" width="2.28515625" style="22" customWidth="1"/>
    <col min="273" max="273" width="9.28515625" style="22" bestFit="1" customWidth="1"/>
    <col min="274" max="512" width="9.140625" style="22"/>
    <col min="513" max="513" width="5.85546875" style="22" customWidth="1"/>
    <col min="514" max="514" width="32.85546875" style="22" customWidth="1"/>
    <col min="515" max="515" width="32" style="22" customWidth="1"/>
    <col min="516" max="516" width="11.28515625" style="22" bestFit="1" customWidth="1"/>
    <col min="517" max="517" width="8.140625" style="22" customWidth="1"/>
    <col min="518" max="518" width="7.28515625" style="22" customWidth="1"/>
    <col min="519" max="519" width="107.7109375" style="22" customWidth="1"/>
    <col min="520" max="520" width="9.140625" style="22" customWidth="1"/>
    <col min="521" max="521" width="12.5703125" style="22" customWidth="1"/>
    <col min="522" max="522" width="13.140625" style="22" customWidth="1"/>
    <col min="523" max="523" width="12.140625" style="22" customWidth="1"/>
    <col min="524" max="524" width="11.28515625" style="22" customWidth="1"/>
    <col min="525" max="525" width="12.140625" style="22" customWidth="1"/>
    <col min="526" max="526" width="9.140625" style="22" customWidth="1"/>
    <col min="527" max="527" width="9.28515625" style="22" customWidth="1"/>
    <col min="528" max="528" width="2.28515625" style="22" customWidth="1"/>
    <col min="529" max="529" width="9.28515625" style="22" bestFit="1" customWidth="1"/>
    <col min="530" max="768" width="9.140625" style="22"/>
    <col min="769" max="769" width="5.85546875" style="22" customWidth="1"/>
    <col min="770" max="770" width="32.85546875" style="22" customWidth="1"/>
    <col min="771" max="771" width="32" style="22" customWidth="1"/>
    <col min="772" max="772" width="11.28515625" style="22" bestFit="1" customWidth="1"/>
    <col min="773" max="773" width="8.140625" style="22" customWidth="1"/>
    <col min="774" max="774" width="7.28515625" style="22" customWidth="1"/>
    <col min="775" max="775" width="107.7109375" style="22" customWidth="1"/>
    <col min="776" max="776" width="9.140625" style="22" customWidth="1"/>
    <col min="777" max="777" width="12.5703125" style="22" customWidth="1"/>
    <col min="778" max="778" width="13.140625" style="22" customWidth="1"/>
    <col min="779" max="779" width="12.140625" style="22" customWidth="1"/>
    <col min="780" max="780" width="11.28515625" style="22" customWidth="1"/>
    <col min="781" max="781" width="12.140625" style="22" customWidth="1"/>
    <col min="782" max="782" width="9.140625" style="22" customWidth="1"/>
    <col min="783" max="783" width="9.28515625" style="22" customWidth="1"/>
    <col min="784" max="784" width="2.28515625" style="22" customWidth="1"/>
    <col min="785" max="785" width="9.28515625" style="22" bestFit="1" customWidth="1"/>
    <col min="786" max="1024" width="9.140625" style="22"/>
    <col min="1025" max="1025" width="5.85546875" style="22" customWidth="1"/>
    <col min="1026" max="1026" width="32.85546875" style="22" customWidth="1"/>
    <col min="1027" max="1027" width="32" style="22" customWidth="1"/>
    <col min="1028" max="1028" width="11.28515625" style="22" bestFit="1" customWidth="1"/>
    <col min="1029" max="1029" width="8.140625" style="22" customWidth="1"/>
    <col min="1030" max="1030" width="7.28515625" style="22" customWidth="1"/>
    <col min="1031" max="1031" width="107.7109375" style="22" customWidth="1"/>
    <col min="1032" max="1032" width="9.140625" style="22" customWidth="1"/>
    <col min="1033" max="1033" width="12.5703125" style="22" customWidth="1"/>
    <col min="1034" max="1034" width="13.140625" style="22" customWidth="1"/>
    <col min="1035" max="1035" width="12.140625" style="22" customWidth="1"/>
    <col min="1036" max="1036" width="11.28515625" style="22" customWidth="1"/>
    <col min="1037" max="1037" width="12.140625" style="22" customWidth="1"/>
    <col min="1038" max="1038" width="9.140625" style="22" customWidth="1"/>
    <col min="1039" max="1039" width="9.28515625" style="22" customWidth="1"/>
    <col min="1040" max="1040" width="2.28515625" style="22" customWidth="1"/>
    <col min="1041" max="1041" width="9.28515625" style="22" bestFit="1" customWidth="1"/>
    <col min="1042" max="1280" width="9.140625" style="22"/>
    <col min="1281" max="1281" width="5.85546875" style="22" customWidth="1"/>
    <col min="1282" max="1282" width="32.85546875" style="22" customWidth="1"/>
    <col min="1283" max="1283" width="32" style="22" customWidth="1"/>
    <col min="1284" max="1284" width="11.28515625" style="22" bestFit="1" customWidth="1"/>
    <col min="1285" max="1285" width="8.140625" style="22" customWidth="1"/>
    <col min="1286" max="1286" width="7.28515625" style="22" customWidth="1"/>
    <col min="1287" max="1287" width="107.7109375" style="22" customWidth="1"/>
    <col min="1288" max="1288" width="9.140625" style="22" customWidth="1"/>
    <col min="1289" max="1289" width="12.5703125" style="22" customWidth="1"/>
    <col min="1290" max="1290" width="13.140625" style="22" customWidth="1"/>
    <col min="1291" max="1291" width="12.140625" style="22" customWidth="1"/>
    <col min="1292" max="1292" width="11.28515625" style="22" customWidth="1"/>
    <col min="1293" max="1293" width="12.140625" style="22" customWidth="1"/>
    <col min="1294" max="1294" width="9.140625" style="22" customWidth="1"/>
    <col min="1295" max="1295" width="9.28515625" style="22" customWidth="1"/>
    <col min="1296" max="1296" width="2.28515625" style="22" customWidth="1"/>
    <col min="1297" max="1297" width="9.28515625" style="22" bestFit="1" customWidth="1"/>
    <col min="1298" max="1536" width="9.140625" style="22"/>
    <col min="1537" max="1537" width="5.85546875" style="22" customWidth="1"/>
    <col min="1538" max="1538" width="32.85546875" style="22" customWidth="1"/>
    <col min="1539" max="1539" width="32" style="22" customWidth="1"/>
    <col min="1540" max="1540" width="11.28515625" style="22" bestFit="1" customWidth="1"/>
    <col min="1541" max="1541" width="8.140625" style="22" customWidth="1"/>
    <col min="1542" max="1542" width="7.28515625" style="22" customWidth="1"/>
    <col min="1543" max="1543" width="107.7109375" style="22" customWidth="1"/>
    <col min="1544" max="1544" width="9.140625" style="22" customWidth="1"/>
    <col min="1545" max="1545" width="12.5703125" style="22" customWidth="1"/>
    <col min="1546" max="1546" width="13.140625" style="22" customWidth="1"/>
    <col min="1547" max="1547" width="12.140625" style="22" customWidth="1"/>
    <col min="1548" max="1548" width="11.28515625" style="22" customWidth="1"/>
    <col min="1549" max="1549" width="12.140625" style="22" customWidth="1"/>
    <col min="1550" max="1550" width="9.140625" style="22" customWidth="1"/>
    <col min="1551" max="1551" width="9.28515625" style="22" customWidth="1"/>
    <col min="1552" max="1552" width="2.28515625" style="22" customWidth="1"/>
    <col min="1553" max="1553" width="9.28515625" style="22" bestFit="1" customWidth="1"/>
    <col min="1554" max="1792" width="9.140625" style="22"/>
    <col min="1793" max="1793" width="5.85546875" style="22" customWidth="1"/>
    <col min="1794" max="1794" width="32.85546875" style="22" customWidth="1"/>
    <col min="1795" max="1795" width="32" style="22" customWidth="1"/>
    <col min="1796" max="1796" width="11.28515625" style="22" bestFit="1" customWidth="1"/>
    <col min="1797" max="1797" width="8.140625" style="22" customWidth="1"/>
    <col min="1798" max="1798" width="7.28515625" style="22" customWidth="1"/>
    <col min="1799" max="1799" width="107.7109375" style="22" customWidth="1"/>
    <col min="1800" max="1800" width="9.140625" style="22" customWidth="1"/>
    <col min="1801" max="1801" width="12.5703125" style="22" customWidth="1"/>
    <col min="1802" max="1802" width="13.140625" style="22" customWidth="1"/>
    <col min="1803" max="1803" width="12.140625" style="22" customWidth="1"/>
    <col min="1804" max="1804" width="11.28515625" style="22" customWidth="1"/>
    <col min="1805" max="1805" width="12.140625" style="22" customWidth="1"/>
    <col min="1806" max="1806" width="9.140625" style="22" customWidth="1"/>
    <col min="1807" max="1807" width="9.28515625" style="22" customWidth="1"/>
    <col min="1808" max="1808" width="2.28515625" style="22" customWidth="1"/>
    <col min="1809" max="1809" width="9.28515625" style="22" bestFit="1" customWidth="1"/>
    <col min="1810" max="2048" width="9.140625" style="22"/>
    <col min="2049" max="2049" width="5.85546875" style="22" customWidth="1"/>
    <col min="2050" max="2050" width="32.85546875" style="22" customWidth="1"/>
    <col min="2051" max="2051" width="32" style="22" customWidth="1"/>
    <col min="2052" max="2052" width="11.28515625" style="22" bestFit="1" customWidth="1"/>
    <col min="2053" max="2053" width="8.140625" style="22" customWidth="1"/>
    <col min="2054" max="2054" width="7.28515625" style="22" customWidth="1"/>
    <col min="2055" max="2055" width="107.7109375" style="22" customWidth="1"/>
    <col min="2056" max="2056" width="9.140625" style="22" customWidth="1"/>
    <col min="2057" max="2057" width="12.5703125" style="22" customWidth="1"/>
    <col min="2058" max="2058" width="13.140625" style="22" customWidth="1"/>
    <col min="2059" max="2059" width="12.140625" style="22" customWidth="1"/>
    <col min="2060" max="2060" width="11.28515625" style="22" customWidth="1"/>
    <col min="2061" max="2061" width="12.140625" style="22" customWidth="1"/>
    <col min="2062" max="2062" width="9.140625" style="22" customWidth="1"/>
    <col min="2063" max="2063" width="9.28515625" style="22" customWidth="1"/>
    <col min="2064" max="2064" width="2.28515625" style="22" customWidth="1"/>
    <col min="2065" max="2065" width="9.28515625" style="22" bestFit="1" customWidth="1"/>
    <col min="2066" max="2304" width="9.140625" style="22"/>
    <col min="2305" max="2305" width="5.85546875" style="22" customWidth="1"/>
    <col min="2306" max="2306" width="32.85546875" style="22" customWidth="1"/>
    <col min="2307" max="2307" width="32" style="22" customWidth="1"/>
    <col min="2308" max="2308" width="11.28515625" style="22" bestFit="1" customWidth="1"/>
    <col min="2309" max="2309" width="8.140625" style="22" customWidth="1"/>
    <col min="2310" max="2310" width="7.28515625" style="22" customWidth="1"/>
    <col min="2311" max="2311" width="107.7109375" style="22" customWidth="1"/>
    <col min="2312" max="2312" width="9.140625" style="22" customWidth="1"/>
    <col min="2313" max="2313" width="12.5703125" style="22" customWidth="1"/>
    <col min="2314" max="2314" width="13.140625" style="22" customWidth="1"/>
    <col min="2315" max="2315" width="12.140625" style="22" customWidth="1"/>
    <col min="2316" max="2316" width="11.28515625" style="22" customWidth="1"/>
    <col min="2317" max="2317" width="12.140625" style="22" customWidth="1"/>
    <col min="2318" max="2318" width="9.140625" style="22" customWidth="1"/>
    <col min="2319" max="2319" width="9.28515625" style="22" customWidth="1"/>
    <col min="2320" max="2320" width="2.28515625" style="22" customWidth="1"/>
    <col min="2321" max="2321" width="9.28515625" style="22" bestFit="1" customWidth="1"/>
    <col min="2322" max="2560" width="9.140625" style="22"/>
    <col min="2561" max="2561" width="5.85546875" style="22" customWidth="1"/>
    <col min="2562" max="2562" width="32.85546875" style="22" customWidth="1"/>
    <col min="2563" max="2563" width="32" style="22" customWidth="1"/>
    <col min="2564" max="2564" width="11.28515625" style="22" bestFit="1" customWidth="1"/>
    <col min="2565" max="2565" width="8.140625" style="22" customWidth="1"/>
    <col min="2566" max="2566" width="7.28515625" style="22" customWidth="1"/>
    <col min="2567" max="2567" width="107.7109375" style="22" customWidth="1"/>
    <col min="2568" max="2568" width="9.140625" style="22" customWidth="1"/>
    <col min="2569" max="2569" width="12.5703125" style="22" customWidth="1"/>
    <col min="2570" max="2570" width="13.140625" style="22" customWidth="1"/>
    <col min="2571" max="2571" width="12.140625" style="22" customWidth="1"/>
    <col min="2572" max="2572" width="11.28515625" style="22" customWidth="1"/>
    <col min="2573" max="2573" width="12.140625" style="22" customWidth="1"/>
    <col min="2574" max="2574" width="9.140625" style="22" customWidth="1"/>
    <col min="2575" max="2575" width="9.28515625" style="22" customWidth="1"/>
    <col min="2576" max="2576" width="2.28515625" style="22" customWidth="1"/>
    <col min="2577" max="2577" width="9.28515625" style="22" bestFit="1" customWidth="1"/>
    <col min="2578" max="2816" width="9.140625" style="22"/>
    <col min="2817" max="2817" width="5.85546875" style="22" customWidth="1"/>
    <col min="2818" max="2818" width="32.85546875" style="22" customWidth="1"/>
    <col min="2819" max="2819" width="32" style="22" customWidth="1"/>
    <col min="2820" max="2820" width="11.28515625" style="22" bestFit="1" customWidth="1"/>
    <col min="2821" max="2821" width="8.140625" style="22" customWidth="1"/>
    <col min="2822" max="2822" width="7.28515625" style="22" customWidth="1"/>
    <col min="2823" max="2823" width="107.7109375" style="22" customWidth="1"/>
    <col min="2824" max="2824" width="9.140625" style="22" customWidth="1"/>
    <col min="2825" max="2825" width="12.5703125" style="22" customWidth="1"/>
    <col min="2826" max="2826" width="13.140625" style="22" customWidth="1"/>
    <col min="2827" max="2827" width="12.140625" style="22" customWidth="1"/>
    <col min="2828" max="2828" width="11.28515625" style="22" customWidth="1"/>
    <col min="2829" max="2829" width="12.140625" style="22" customWidth="1"/>
    <col min="2830" max="2830" width="9.140625" style="22" customWidth="1"/>
    <col min="2831" max="2831" width="9.28515625" style="22" customWidth="1"/>
    <col min="2832" max="2832" width="2.28515625" style="22" customWidth="1"/>
    <col min="2833" max="2833" width="9.28515625" style="22" bestFit="1" customWidth="1"/>
    <col min="2834" max="3072" width="9.140625" style="22"/>
    <col min="3073" max="3073" width="5.85546875" style="22" customWidth="1"/>
    <col min="3074" max="3074" width="32.85546875" style="22" customWidth="1"/>
    <col min="3075" max="3075" width="32" style="22" customWidth="1"/>
    <col min="3076" max="3076" width="11.28515625" style="22" bestFit="1" customWidth="1"/>
    <col min="3077" max="3077" width="8.140625" style="22" customWidth="1"/>
    <col min="3078" max="3078" width="7.28515625" style="22" customWidth="1"/>
    <col min="3079" max="3079" width="107.7109375" style="22" customWidth="1"/>
    <col min="3080" max="3080" width="9.140625" style="22" customWidth="1"/>
    <col min="3081" max="3081" width="12.5703125" style="22" customWidth="1"/>
    <col min="3082" max="3082" width="13.140625" style="22" customWidth="1"/>
    <col min="3083" max="3083" width="12.140625" style="22" customWidth="1"/>
    <col min="3084" max="3084" width="11.28515625" style="22" customWidth="1"/>
    <col min="3085" max="3085" width="12.140625" style="22" customWidth="1"/>
    <col min="3086" max="3086" width="9.140625" style="22" customWidth="1"/>
    <col min="3087" max="3087" width="9.28515625" style="22" customWidth="1"/>
    <col min="3088" max="3088" width="2.28515625" style="22" customWidth="1"/>
    <col min="3089" max="3089" width="9.28515625" style="22" bestFit="1" customWidth="1"/>
    <col min="3090" max="3328" width="9.140625" style="22"/>
    <col min="3329" max="3329" width="5.85546875" style="22" customWidth="1"/>
    <col min="3330" max="3330" width="32.85546875" style="22" customWidth="1"/>
    <col min="3331" max="3331" width="32" style="22" customWidth="1"/>
    <col min="3332" max="3332" width="11.28515625" style="22" bestFit="1" customWidth="1"/>
    <col min="3333" max="3333" width="8.140625" style="22" customWidth="1"/>
    <col min="3334" max="3334" width="7.28515625" style="22" customWidth="1"/>
    <col min="3335" max="3335" width="107.7109375" style="22" customWidth="1"/>
    <col min="3336" max="3336" width="9.140625" style="22" customWidth="1"/>
    <col min="3337" max="3337" width="12.5703125" style="22" customWidth="1"/>
    <col min="3338" max="3338" width="13.140625" style="22" customWidth="1"/>
    <col min="3339" max="3339" width="12.140625" style="22" customWidth="1"/>
    <col min="3340" max="3340" width="11.28515625" style="22" customWidth="1"/>
    <col min="3341" max="3341" width="12.140625" style="22" customWidth="1"/>
    <col min="3342" max="3342" width="9.140625" style="22" customWidth="1"/>
    <col min="3343" max="3343" width="9.28515625" style="22" customWidth="1"/>
    <col min="3344" max="3344" width="2.28515625" style="22" customWidth="1"/>
    <col min="3345" max="3345" width="9.28515625" style="22" bestFit="1" customWidth="1"/>
    <col min="3346" max="3584" width="9.140625" style="22"/>
    <col min="3585" max="3585" width="5.85546875" style="22" customWidth="1"/>
    <col min="3586" max="3586" width="32.85546875" style="22" customWidth="1"/>
    <col min="3587" max="3587" width="32" style="22" customWidth="1"/>
    <col min="3588" max="3588" width="11.28515625" style="22" bestFit="1" customWidth="1"/>
    <col min="3589" max="3589" width="8.140625" style="22" customWidth="1"/>
    <col min="3590" max="3590" width="7.28515625" style="22" customWidth="1"/>
    <col min="3591" max="3591" width="107.7109375" style="22" customWidth="1"/>
    <col min="3592" max="3592" width="9.140625" style="22" customWidth="1"/>
    <col min="3593" max="3593" width="12.5703125" style="22" customWidth="1"/>
    <col min="3594" max="3594" width="13.140625" style="22" customWidth="1"/>
    <col min="3595" max="3595" width="12.140625" style="22" customWidth="1"/>
    <col min="3596" max="3596" width="11.28515625" style="22" customWidth="1"/>
    <col min="3597" max="3597" width="12.140625" style="22" customWidth="1"/>
    <col min="3598" max="3598" width="9.140625" style="22" customWidth="1"/>
    <col min="3599" max="3599" width="9.28515625" style="22" customWidth="1"/>
    <col min="3600" max="3600" width="2.28515625" style="22" customWidth="1"/>
    <col min="3601" max="3601" width="9.28515625" style="22" bestFit="1" customWidth="1"/>
    <col min="3602" max="3840" width="9.140625" style="22"/>
    <col min="3841" max="3841" width="5.85546875" style="22" customWidth="1"/>
    <col min="3842" max="3842" width="32.85546875" style="22" customWidth="1"/>
    <col min="3843" max="3843" width="32" style="22" customWidth="1"/>
    <col min="3844" max="3844" width="11.28515625" style="22" bestFit="1" customWidth="1"/>
    <col min="3845" max="3845" width="8.140625" style="22" customWidth="1"/>
    <col min="3846" max="3846" width="7.28515625" style="22" customWidth="1"/>
    <col min="3847" max="3847" width="107.7109375" style="22" customWidth="1"/>
    <col min="3848" max="3848" width="9.140625" style="22" customWidth="1"/>
    <col min="3849" max="3849" width="12.5703125" style="22" customWidth="1"/>
    <col min="3850" max="3850" width="13.140625" style="22" customWidth="1"/>
    <col min="3851" max="3851" width="12.140625" style="22" customWidth="1"/>
    <col min="3852" max="3852" width="11.28515625" style="22" customWidth="1"/>
    <col min="3853" max="3853" width="12.140625" style="22" customWidth="1"/>
    <col min="3854" max="3854" width="9.140625" style="22" customWidth="1"/>
    <col min="3855" max="3855" width="9.28515625" style="22" customWidth="1"/>
    <col min="3856" max="3856" width="2.28515625" style="22" customWidth="1"/>
    <col min="3857" max="3857" width="9.28515625" style="22" bestFit="1" customWidth="1"/>
    <col min="3858" max="4096" width="9.140625" style="22"/>
    <col min="4097" max="4097" width="5.85546875" style="22" customWidth="1"/>
    <col min="4098" max="4098" width="32.85546875" style="22" customWidth="1"/>
    <col min="4099" max="4099" width="32" style="22" customWidth="1"/>
    <col min="4100" max="4100" width="11.28515625" style="22" bestFit="1" customWidth="1"/>
    <col min="4101" max="4101" width="8.140625" style="22" customWidth="1"/>
    <col min="4102" max="4102" width="7.28515625" style="22" customWidth="1"/>
    <col min="4103" max="4103" width="107.7109375" style="22" customWidth="1"/>
    <col min="4104" max="4104" width="9.140625" style="22" customWidth="1"/>
    <col min="4105" max="4105" width="12.5703125" style="22" customWidth="1"/>
    <col min="4106" max="4106" width="13.140625" style="22" customWidth="1"/>
    <col min="4107" max="4107" width="12.140625" style="22" customWidth="1"/>
    <col min="4108" max="4108" width="11.28515625" style="22" customWidth="1"/>
    <col min="4109" max="4109" width="12.140625" style="22" customWidth="1"/>
    <col min="4110" max="4110" width="9.140625" style="22" customWidth="1"/>
    <col min="4111" max="4111" width="9.28515625" style="22" customWidth="1"/>
    <col min="4112" max="4112" width="2.28515625" style="22" customWidth="1"/>
    <col min="4113" max="4113" width="9.28515625" style="22" bestFit="1" customWidth="1"/>
    <col min="4114" max="4352" width="9.140625" style="22"/>
    <col min="4353" max="4353" width="5.85546875" style="22" customWidth="1"/>
    <col min="4354" max="4354" width="32.85546875" style="22" customWidth="1"/>
    <col min="4355" max="4355" width="32" style="22" customWidth="1"/>
    <col min="4356" max="4356" width="11.28515625" style="22" bestFit="1" customWidth="1"/>
    <col min="4357" max="4357" width="8.140625" style="22" customWidth="1"/>
    <col min="4358" max="4358" width="7.28515625" style="22" customWidth="1"/>
    <col min="4359" max="4359" width="107.7109375" style="22" customWidth="1"/>
    <col min="4360" max="4360" width="9.140625" style="22" customWidth="1"/>
    <col min="4361" max="4361" width="12.5703125" style="22" customWidth="1"/>
    <col min="4362" max="4362" width="13.140625" style="22" customWidth="1"/>
    <col min="4363" max="4363" width="12.140625" style="22" customWidth="1"/>
    <col min="4364" max="4364" width="11.28515625" style="22" customWidth="1"/>
    <col min="4365" max="4365" width="12.140625" style="22" customWidth="1"/>
    <col min="4366" max="4366" width="9.140625" style="22" customWidth="1"/>
    <col min="4367" max="4367" width="9.28515625" style="22" customWidth="1"/>
    <col min="4368" max="4368" width="2.28515625" style="22" customWidth="1"/>
    <col min="4369" max="4369" width="9.28515625" style="22" bestFit="1" customWidth="1"/>
    <col min="4370" max="4608" width="9.140625" style="22"/>
    <col min="4609" max="4609" width="5.85546875" style="22" customWidth="1"/>
    <col min="4610" max="4610" width="32.85546875" style="22" customWidth="1"/>
    <col min="4611" max="4611" width="32" style="22" customWidth="1"/>
    <col min="4612" max="4612" width="11.28515625" style="22" bestFit="1" customWidth="1"/>
    <col min="4613" max="4613" width="8.140625" style="22" customWidth="1"/>
    <col min="4614" max="4614" width="7.28515625" style="22" customWidth="1"/>
    <col min="4615" max="4615" width="107.7109375" style="22" customWidth="1"/>
    <col min="4616" max="4616" width="9.140625" style="22" customWidth="1"/>
    <col min="4617" max="4617" width="12.5703125" style="22" customWidth="1"/>
    <col min="4618" max="4618" width="13.140625" style="22" customWidth="1"/>
    <col min="4619" max="4619" width="12.140625" style="22" customWidth="1"/>
    <col min="4620" max="4620" width="11.28515625" style="22" customWidth="1"/>
    <col min="4621" max="4621" width="12.140625" style="22" customWidth="1"/>
    <col min="4622" max="4622" width="9.140625" style="22" customWidth="1"/>
    <col min="4623" max="4623" width="9.28515625" style="22" customWidth="1"/>
    <col min="4624" max="4624" width="2.28515625" style="22" customWidth="1"/>
    <col min="4625" max="4625" width="9.28515625" style="22" bestFit="1" customWidth="1"/>
    <col min="4626" max="4864" width="9.140625" style="22"/>
    <col min="4865" max="4865" width="5.85546875" style="22" customWidth="1"/>
    <col min="4866" max="4866" width="32.85546875" style="22" customWidth="1"/>
    <col min="4867" max="4867" width="32" style="22" customWidth="1"/>
    <col min="4868" max="4868" width="11.28515625" style="22" bestFit="1" customWidth="1"/>
    <col min="4869" max="4869" width="8.140625" style="22" customWidth="1"/>
    <col min="4870" max="4870" width="7.28515625" style="22" customWidth="1"/>
    <col min="4871" max="4871" width="107.7109375" style="22" customWidth="1"/>
    <col min="4872" max="4872" width="9.140625" style="22" customWidth="1"/>
    <col min="4873" max="4873" width="12.5703125" style="22" customWidth="1"/>
    <col min="4874" max="4874" width="13.140625" style="22" customWidth="1"/>
    <col min="4875" max="4875" width="12.140625" style="22" customWidth="1"/>
    <col min="4876" max="4876" width="11.28515625" style="22" customWidth="1"/>
    <col min="4877" max="4877" width="12.140625" style="22" customWidth="1"/>
    <col min="4878" max="4878" width="9.140625" style="22" customWidth="1"/>
    <col min="4879" max="4879" width="9.28515625" style="22" customWidth="1"/>
    <col min="4880" max="4880" width="2.28515625" style="22" customWidth="1"/>
    <col min="4881" max="4881" width="9.28515625" style="22" bestFit="1" customWidth="1"/>
    <col min="4882" max="5120" width="9.140625" style="22"/>
    <col min="5121" max="5121" width="5.85546875" style="22" customWidth="1"/>
    <col min="5122" max="5122" width="32.85546875" style="22" customWidth="1"/>
    <col min="5123" max="5123" width="32" style="22" customWidth="1"/>
    <col min="5124" max="5124" width="11.28515625" style="22" bestFit="1" customWidth="1"/>
    <col min="5125" max="5125" width="8.140625" style="22" customWidth="1"/>
    <col min="5126" max="5126" width="7.28515625" style="22" customWidth="1"/>
    <col min="5127" max="5127" width="107.7109375" style="22" customWidth="1"/>
    <col min="5128" max="5128" width="9.140625" style="22" customWidth="1"/>
    <col min="5129" max="5129" width="12.5703125" style="22" customWidth="1"/>
    <col min="5130" max="5130" width="13.140625" style="22" customWidth="1"/>
    <col min="5131" max="5131" width="12.140625" style="22" customWidth="1"/>
    <col min="5132" max="5132" width="11.28515625" style="22" customWidth="1"/>
    <col min="5133" max="5133" width="12.140625" style="22" customWidth="1"/>
    <col min="5134" max="5134" width="9.140625" style="22" customWidth="1"/>
    <col min="5135" max="5135" width="9.28515625" style="22" customWidth="1"/>
    <col min="5136" max="5136" width="2.28515625" style="22" customWidth="1"/>
    <col min="5137" max="5137" width="9.28515625" style="22" bestFit="1" customWidth="1"/>
    <col min="5138" max="5376" width="9.140625" style="22"/>
    <col min="5377" max="5377" width="5.85546875" style="22" customWidth="1"/>
    <col min="5378" max="5378" width="32.85546875" style="22" customWidth="1"/>
    <col min="5379" max="5379" width="32" style="22" customWidth="1"/>
    <col min="5380" max="5380" width="11.28515625" style="22" bestFit="1" customWidth="1"/>
    <col min="5381" max="5381" width="8.140625" style="22" customWidth="1"/>
    <col min="5382" max="5382" width="7.28515625" style="22" customWidth="1"/>
    <col min="5383" max="5383" width="107.7109375" style="22" customWidth="1"/>
    <col min="5384" max="5384" width="9.140625" style="22" customWidth="1"/>
    <col min="5385" max="5385" width="12.5703125" style="22" customWidth="1"/>
    <col min="5386" max="5386" width="13.140625" style="22" customWidth="1"/>
    <col min="5387" max="5387" width="12.140625" style="22" customWidth="1"/>
    <col min="5388" max="5388" width="11.28515625" style="22" customWidth="1"/>
    <col min="5389" max="5389" width="12.140625" style="22" customWidth="1"/>
    <col min="5390" max="5390" width="9.140625" style="22" customWidth="1"/>
    <col min="5391" max="5391" width="9.28515625" style="22" customWidth="1"/>
    <col min="5392" max="5392" width="2.28515625" style="22" customWidth="1"/>
    <col min="5393" max="5393" width="9.28515625" style="22" bestFit="1" customWidth="1"/>
    <col min="5394" max="5632" width="9.140625" style="22"/>
    <col min="5633" max="5633" width="5.85546875" style="22" customWidth="1"/>
    <col min="5634" max="5634" width="32.85546875" style="22" customWidth="1"/>
    <col min="5635" max="5635" width="32" style="22" customWidth="1"/>
    <col min="5636" max="5636" width="11.28515625" style="22" bestFit="1" customWidth="1"/>
    <col min="5637" max="5637" width="8.140625" style="22" customWidth="1"/>
    <col min="5638" max="5638" width="7.28515625" style="22" customWidth="1"/>
    <col min="5639" max="5639" width="107.7109375" style="22" customWidth="1"/>
    <col min="5640" max="5640" width="9.140625" style="22" customWidth="1"/>
    <col min="5641" max="5641" width="12.5703125" style="22" customWidth="1"/>
    <col min="5642" max="5642" width="13.140625" style="22" customWidth="1"/>
    <col min="5643" max="5643" width="12.140625" style="22" customWidth="1"/>
    <col min="5644" max="5644" width="11.28515625" style="22" customWidth="1"/>
    <col min="5645" max="5645" width="12.140625" style="22" customWidth="1"/>
    <col min="5646" max="5646" width="9.140625" style="22" customWidth="1"/>
    <col min="5647" max="5647" width="9.28515625" style="22" customWidth="1"/>
    <col min="5648" max="5648" width="2.28515625" style="22" customWidth="1"/>
    <col min="5649" max="5649" width="9.28515625" style="22" bestFit="1" customWidth="1"/>
    <col min="5650" max="5888" width="9.140625" style="22"/>
    <col min="5889" max="5889" width="5.85546875" style="22" customWidth="1"/>
    <col min="5890" max="5890" width="32.85546875" style="22" customWidth="1"/>
    <col min="5891" max="5891" width="32" style="22" customWidth="1"/>
    <col min="5892" max="5892" width="11.28515625" style="22" bestFit="1" customWidth="1"/>
    <col min="5893" max="5893" width="8.140625" style="22" customWidth="1"/>
    <col min="5894" max="5894" width="7.28515625" style="22" customWidth="1"/>
    <col min="5895" max="5895" width="107.7109375" style="22" customWidth="1"/>
    <col min="5896" max="5896" width="9.140625" style="22" customWidth="1"/>
    <col min="5897" max="5897" width="12.5703125" style="22" customWidth="1"/>
    <col min="5898" max="5898" width="13.140625" style="22" customWidth="1"/>
    <col min="5899" max="5899" width="12.140625" style="22" customWidth="1"/>
    <col min="5900" max="5900" width="11.28515625" style="22" customWidth="1"/>
    <col min="5901" max="5901" width="12.140625" style="22" customWidth="1"/>
    <col min="5902" max="5902" width="9.140625" style="22" customWidth="1"/>
    <col min="5903" max="5903" width="9.28515625" style="22" customWidth="1"/>
    <col min="5904" max="5904" width="2.28515625" style="22" customWidth="1"/>
    <col min="5905" max="5905" width="9.28515625" style="22" bestFit="1" customWidth="1"/>
    <col min="5906" max="6144" width="9.140625" style="22"/>
    <col min="6145" max="6145" width="5.85546875" style="22" customWidth="1"/>
    <col min="6146" max="6146" width="32.85546875" style="22" customWidth="1"/>
    <col min="6147" max="6147" width="32" style="22" customWidth="1"/>
    <col min="6148" max="6148" width="11.28515625" style="22" bestFit="1" customWidth="1"/>
    <col min="6149" max="6149" width="8.140625" style="22" customWidth="1"/>
    <col min="6150" max="6150" width="7.28515625" style="22" customWidth="1"/>
    <col min="6151" max="6151" width="107.7109375" style="22" customWidth="1"/>
    <col min="6152" max="6152" width="9.140625" style="22" customWidth="1"/>
    <col min="6153" max="6153" width="12.5703125" style="22" customWidth="1"/>
    <col min="6154" max="6154" width="13.140625" style="22" customWidth="1"/>
    <col min="6155" max="6155" width="12.140625" style="22" customWidth="1"/>
    <col min="6156" max="6156" width="11.28515625" style="22" customWidth="1"/>
    <col min="6157" max="6157" width="12.140625" style="22" customWidth="1"/>
    <col min="6158" max="6158" width="9.140625" style="22" customWidth="1"/>
    <col min="6159" max="6159" width="9.28515625" style="22" customWidth="1"/>
    <col min="6160" max="6160" width="2.28515625" style="22" customWidth="1"/>
    <col min="6161" max="6161" width="9.28515625" style="22" bestFit="1" customWidth="1"/>
    <col min="6162" max="6400" width="9.140625" style="22"/>
    <col min="6401" max="6401" width="5.85546875" style="22" customWidth="1"/>
    <col min="6402" max="6402" width="32.85546875" style="22" customWidth="1"/>
    <col min="6403" max="6403" width="32" style="22" customWidth="1"/>
    <col min="6404" max="6404" width="11.28515625" style="22" bestFit="1" customWidth="1"/>
    <col min="6405" max="6405" width="8.140625" style="22" customWidth="1"/>
    <col min="6406" max="6406" width="7.28515625" style="22" customWidth="1"/>
    <col min="6407" max="6407" width="107.7109375" style="22" customWidth="1"/>
    <col min="6408" max="6408" width="9.140625" style="22" customWidth="1"/>
    <col min="6409" max="6409" width="12.5703125" style="22" customWidth="1"/>
    <col min="6410" max="6410" width="13.140625" style="22" customWidth="1"/>
    <col min="6411" max="6411" width="12.140625" style="22" customWidth="1"/>
    <col min="6412" max="6412" width="11.28515625" style="22" customWidth="1"/>
    <col min="6413" max="6413" width="12.140625" style="22" customWidth="1"/>
    <col min="6414" max="6414" width="9.140625" style="22" customWidth="1"/>
    <col min="6415" max="6415" width="9.28515625" style="22" customWidth="1"/>
    <col min="6416" max="6416" width="2.28515625" style="22" customWidth="1"/>
    <col min="6417" max="6417" width="9.28515625" style="22" bestFit="1" customWidth="1"/>
    <col min="6418" max="6656" width="9.140625" style="22"/>
    <col min="6657" max="6657" width="5.85546875" style="22" customWidth="1"/>
    <col min="6658" max="6658" width="32.85546875" style="22" customWidth="1"/>
    <col min="6659" max="6659" width="32" style="22" customWidth="1"/>
    <col min="6660" max="6660" width="11.28515625" style="22" bestFit="1" customWidth="1"/>
    <col min="6661" max="6661" width="8.140625" style="22" customWidth="1"/>
    <col min="6662" max="6662" width="7.28515625" style="22" customWidth="1"/>
    <col min="6663" max="6663" width="107.7109375" style="22" customWidth="1"/>
    <col min="6664" max="6664" width="9.140625" style="22" customWidth="1"/>
    <col min="6665" max="6665" width="12.5703125" style="22" customWidth="1"/>
    <col min="6666" max="6666" width="13.140625" style="22" customWidth="1"/>
    <col min="6667" max="6667" width="12.140625" style="22" customWidth="1"/>
    <col min="6668" max="6668" width="11.28515625" style="22" customWidth="1"/>
    <col min="6669" max="6669" width="12.140625" style="22" customWidth="1"/>
    <col min="6670" max="6670" width="9.140625" style="22" customWidth="1"/>
    <col min="6671" max="6671" width="9.28515625" style="22" customWidth="1"/>
    <col min="6672" max="6672" width="2.28515625" style="22" customWidth="1"/>
    <col min="6673" max="6673" width="9.28515625" style="22" bestFit="1" customWidth="1"/>
    <col min="6674" max="6912" width="9.140625" style="22"/>
    <col min="6913" max="6913" width="5.85546875" style="22" customWidth="1"/>
    <col min="6914" max="6914" width="32.85546875" style="22" customWidth="1"/>
    <col min="6915" max="6915" width="32" style="22" customWidth="1"/>
    <col min="6916" max="6916" width="11.28515625" style="22" bestFit="1" customWidth="1"/>
    <col min="6917" max="6917" width="8.140625" style="22" customWidth="1"/>
    <col min="6918" max="6918" width="7.28515625" style="22" customWidth="1"/>
    <col min="6919" max="6919" width="107.7109375" style="22" customWidth="1"/>
    <col min="6920" max="6920" width="9.140625" style="22" customWidth="1"/>
    <col min="6921" max="6921" width="12.5703125" style="22" customWidth="1"/>
    <col min="6922" max="6922" width="13.140625" style="22" customWidth="1"/>
    <col min="6923" max="6923" width="12.140625" style="22" customWidth="1"/>
    <col min="6924" max="6924" width="11.28515625" style="22" customWidth="1"/>
    <col min="6925" max="6925" width="12.140625" style="22" customWidth="1"/>
    <col min="6926" max="6926" width="9.140625" style="22" customWidth="1"/>
    <col min="6927" max="6927" width="9.28515625" style="22" customWidth="1"/>
    <col min="6928" max="6928" width="2.28515625" style="22" customWidth="1"/>
    <col min="6929" max="6929" width="9.28515625" style="22" bestFit="1" customWidth="1"/>
    <col min="6930" max="7168" width="9.140625" style="22"/>
    <col min="7169" max="7169" width="5.85546875" style="22" customWidth="1"/>
    <col min="7170" max="7170" width="32.85546875" style="22" customWidth="1"/>
    <col min="7171" max="7171" width="32" style="22" customWidth="1"/>
    <col min="7172" max="7172" width="11.28515625" style="22" bestFit="1" customWidth="1"/>
    <col min="7173" max="7173" width="8.140625" style="22" customWidth="1"/>
    <col min="7174" max="7174" width="7.28515625" style="22" customWidth="1"/>
    <col min="7175" max="7175" width="107.7109375" style="22" customWidth="1"/>
    <col min="7176" max="7176" width="9.140625" style="22" customWidth="1"/>
    <col min="7177" max="7177" width="12.5703125" style="22" customWidth="1"/>
    <col min="7178" max="7178" width="13.140625" style="22" customWidth="1"/>
    <col min="7179" max="7179" width="12.140625" style="22" customWidth="1"/>
    <col min="7180" max="7180" width="11.28515625" style="22" customWidth="1"/>
    <col min="7181" max="7181" width="12.140625" style="22" customWidth="1"/>
    <col min="7182" max="7182" width="9.140625" style="22" customWidth="1"/>
    <col min="7183" max="7183" width="9.28515625" style="22" customWidth="1"/>
    <col min="7184" max="7184" width="2.28515625" style="22" customWidth="1"/>
    <col min="7185" max="7185" width="9.28515625" style="22" bestFit="1" customWidth="1"/>
    <col min="7186" max="7424" width="9.140625" style="22"/>
    <col min="7425" max="7425" width="5.85546875" style="22" customWidth="1"/>
    <col min="7426" max="7426" width="32.85546875" style="22" customWidth="1"/>
    <col min="7427" max="7427" width="32" style="22" customWidth="1"/>
    <col min="7428" max="7428" width="11.28515625" style="22" bestFit="1" customWidth="1"/>
    <col min="7429" max="7429" width="8.140625" style="22" customWidth="1"/>
    <col min="7430" max="7430" width="7.28515625" style="22" customWidth="1"/>
    <col min="7431" max="7431" width="107.7109375" style="22" customWidth="1"/>
    <col min="7432" max="7432" width="9.140625" style="22" customWidth="1"/>
    <col min="7433" max="7433" width="12.5703125" style="22" customWidth="1"/>
    <col min="7434" max="7434" width="13.140625" style="22" customWidth="1"/>
    <col min="7435" max="7435" width="12.140625" style="22" customWidth="1"/>
    <col min="7436" max="7436" width="11.28515625" style="22" customWidth="1"/>
    <col min="7437" max="7437" width="12.140625" style="22" customWidth="1"/>
    <col min="7438" max="7438" width="9.140625" style="22" customWidth="1"/>
    <col min="7439" max="7439" width="9.28515625" style="22" customWidth="1"/>
    <col min="7440" max="7440" width="2.28515625" style="22" customWidth="1"/>
    <col min="7441" max="7441" width="9.28515625" style="22" bestFit="1" customWidth="1"/>
    <col min="7442" max="7680" width="9.140625" style="22"/>
    <col min="7681" max="7681" width="5.85546875" style="22" customWidth="1"/>
    <col min="7682" max="7682" width="32.85546875" style="22" customWidth="1"/>
    <col min="7683" max="7683" width="32" style="22" customWidth="1"/>
    <col min="7684" max="7684" width="11.28515625" style="22" bestFit="1" customWidth="1"/>
    <col min="7685" max="7685" width="8.140625" style="22" customWidth="1"/>
    <col min="7686" max="7686" width="7.28515625" style="22" customWidth="1"/>
    <col min="7687" max="7687" width="107.7109375" style="22" customWidth="1"/>
    <col min="7688" max="7688" width="9.140625" style="22" customWidth="1"/>
    <col min="7689" max="7689" width="12.5703125" style="22" customWidth="1"/>
    <col min="7690" max="7690" width="13.140625" style="22" customWidth="1"/>
    <col min="7691" max="7691" width="12.140625" style="22" customWidth="1"/>
    <col min="7692" max="7692" width="11.28515625" style="22" customWidth="1"/>
    <col min="7693" max="7693" width="12.140625" style="22" customWidth="1"/>
    <col min="7694" max="7694" width="9.140625" style="22" customWidth="1"/>
    <col min="7695" max="7695" width="9.28515625" style="22" customWidth="1"/>
    <col min="7696" max="7696" width="2.28515625" style="22" customWidth="1"/>
    <col min="7697" max="7697" width="9.28515625" style="22" bestFit="1" customWidth="1"/>
    <col min="7698" max="7936" width="9.140625" style="22"/>
    <col min="7937" max="7937" width="5.85546875" style="22" customWidth="1"/>
    <col min="7938" max="7938" width="32.85546875" style="22" customWidth="1"/>
    <col min="7939" max="7939" width="32" style="22" customWidth="1"/>
    <col min="7940" max="7940" width="11.28515625" style="22" bestFit="1" customWidth="1"/>
    <col min="7941" max="7941" width="8.140625" style="22" customWidth="1"/>
    <col min="7942" max="7942" width="7.28515625" style="22" customWidth="1"/>
    <col min="7943" max="7943" width="107.7109375" style="22" customWidth="1"/>
    <col min="7944" max="7944" width="9.140625" style="22" customWidth="1"/>
    <col min="7945" max="7945" width="12.5703125" style="22" customWidth="1"/>
    <col min="7946" max="7946" width="13.140625" style="22" customWidth="1"/>
    <col min="7947" max="7947" width="12.140625" style="22" customWidth="1"/>
    <col min="7948" max="7948" width="11.28515625" style="22" customWidth="1"/>
    <col min="7949" max="7949" width="12.140625" style="22" customWidth="1"/>
    <col min="7950" max="7950" width="9.140625" style="22" customWidth="1"/>
    <col min="7951" max="7951" width="9.28515625" style="22" customWidth="1"/>
    <col min="7952" max="7952" width="2.28515625" style="22" customWidth="1"/>
    <col min="7953" max="7953" width="9.28515625" style="22" bestFit="1" customWidth="1"/>
    <col min="7954" max="8192" width="9.140625" style="22"/>
    <col min="8193" max="8193" width="5.85546875" style="22" customWidth="1"/>
    <col min="8194" max="8194" width="32.85546875" style="22" customWidth="1"/>
    <col min="8195" max="8195" width="32" style="22" customWidth="1"/>
    <col min="8196" max="8196" width="11.28515625" style="22" bestFit="1" customWidth="1"/>
    <col min="8197" max="8197" width="8.140625" style="22" customWidth="1"/>
    <col min="8198" max="8198" width="7.28515625" style="22" customWidth="1"/>
    <col min="8199" max="8199" width="107.7109375" style="22" customWidth="1"/>
    <col min="8200" max="8200" width="9.140625" style="22" customWidth="1"/>
    <col min="8201" max="8201" width="12.5703125" style="22" customWidth="1"/>
    <col min="8202" max="8202" width="13.140625" style="22" customWidth="1"/>
    <col min="8203" max="8203" width="12.140625" style="22" customWidth="1"/>
    <col min="8204" max="8204" width="11.28515625" style="22" customWidth="1"/>
    <col min="8205" max="8205" width="12.140625" style="22" customWidth="1"/>
    <col min="8206" max="8206" width="9.140625" style="22" customWidth="1"/>
    <col min="8207" max="8207" width="9.28515625" style="22" customWidth="1"/>
    <col min="8208" max="8208" width="2.28515625" style="22" customWidth="1"/>
    <col min="8209" max="8209" width="9.28515625" style="22" bestFit="1" customWidth="1"/>
    <col min="8210" max="8448" width="9.140625" style="22"/>
    <col min="8449" max="8449" width="5.85546875" style="22" customWidth="1"/>
    <col min="8450" max="8450" width="32.85546875" style="22" customWidth="1"/>
    <col min="8451" max="8451" width="32" style="22" customWidth="1"/>
    <col min="8452" max="8452" width="11.28515625" style="22" bestFit="1" customWidth="1"/>
    <col min="8453" max="8453" width="8.140625" style="22" customWidth="1"/>
    <col min="8454" max="8454" width="7.28515625" style="22" customWidth="1"/>
    <col min="8455" max="8455" width="107.7109375" style="22" customWidth="1"/>
    <col min="8456" max="8456" width="9.140625" style="22" customWidth="1"/>
    <col min="8457" max="8457" width="12.5703125" style="22" customWidth="1"/>
    <col min="8458" max="8458" width="13.140625" style="22" customWidth="1"/>
    <col min="8459" max="8459" width="12.140625" style="22" customWidth="1"/>
    <col min="8460" max="8460" width="11.28515625" style="22" customWidth="1"/>
    <col min="8461" max="8461" width="12.140625" style="22" customWidth="1"/>
    <col min="8462" max="8462" width="9.140625" style="22" customWidth="1"/>
    <col min="8463" max="8463" width="9.28515625" style="22" customWidth="1"/>
    <col min="8464" max="8464" width="2.28515625" style="22" customWidth="1"/>
    <col min="8465" max="8465" width="9.28515625" style="22" bestFit="1" customWidth="1"/>
    <col min="8466" max="8704" width="9.140625" style="22"/>
    <col min="8705" max="8705" width="5.85546875" style="22" customWidth="1"/>
    <col min="8706" max="8706" width="32.85546875" style="22" customWidth="1"/>
    <col min="8707" max="8707" width="32" style="22" customWidth="1"/>
    <col min="8708" max="8708" width="11.28515625" style="22" bestFit="1" customWidth="1"/>
    <col min="8709" max="8709" width="8.140625" style="22" customWidth="1"/>
    <col min="8710" max="8710" width="7.28515625" style="22" customWidth="1"/>
    <col min="8711" max="8711" width="107.7109375" style="22" customWidth="1"/>
    <col min="8712" max="8712" width="9.140625" style="22" customWidth="1"/>
    <col min="8713" max="8713" width="12.5703125" style="22" customWidth="1"/>
    <col min="8714" max="8714" width="13.140625" style="22" customWidth="1"/>
    <col min="8715" max="8715" width="12.140625" style="22" customWidth="1"/>
    <col min="8716" max="8716" width="11.28515625" style="22" customWidth="1"/>
    <col min="8717" max="8717" width="12.140625" style="22" customWidth="1"/>
    <col min="8718" max="8718" width="9.140625" style="22" customWidth="1"/>
    <col min="8719" max="8719" width="9.28515625" style="22" customWidth="1"/>
    <col min="8720" max="8720" width="2.28515625" style="22" customWidth="1"/>
    <col min="8721" max="8721" width="9.28515625" style="22" bestFit="1" customWidth="1"/>
    <col min="8722" max="8960" width="9.140625" style="22"/>
    <col min="8961" max="8961" width="5.85546875" style="22" customWidth="1"/>
    <col min="8962" max="8962" width="32.85546875" style="22" customWidth="1"/>
    <col min="8963" max="8963" width="32" style="22" customWidth="1"/>
    <col min="8964" max="8964" width="11.28515625" style="22" bestFit="1" customWidth="1"/>
    <col min="8965" max="8965" width="8.140625" style="22" customWidth="1"/>
    <col min="8966" max="8966" width="7.28515625" style="22" customWidth="1"/>
    <col min="8967" max="8967" width="107.7109375" style="22" customWidth="1"/>
    <col min="8968" max="8968" width="9.140625" style="22" customWidth="1"/>
    <col min="8969" max="8969" width="12.5703125" style="22" customWidth="1"/>
    <col min="8970" max="8970" width="13.140625" style="22" customWidth="1"/>
    <col min="8971" max="8971" width="12.140625" style="22" customWidth="1"/>
    <col min="8972" max="8972" width="11.28515625" style="22" customWidth="1"/>
    <col min="8973" max="8973" width="12.140625" style="22" customWidth="1"/>
    <col min="8974" max="8974" width="9.140625" style="22" customWidth="1"/>
    <col min="8975" max="8975" width="9.28515625" style="22" customWidth="1"/>
    <col min="8976" max="8976" width="2.28515625" style="22" customWidth="1"/>
    <col min="8977" max="8977" width="9.28515625" style="22" bestFit="1" customWidth="1"/>
    <col min="8978" max="9216" width="9.140625" style="22"/>
    <col min="9217" max="9217" width="5.85546875" style="22" customWidth="1"/>
    <col min="9218" max="9218" width="32.85546875" style="22" customWidth="1"/>
    <col min="9219" max="9219" width="32" style="22" customWidth="1"/>
    <col min="9220" max="9220" width="11.28515625" style="22" bestFit="1" customWidth="1"/>
    <col min="9221" max="9221" width="8.140625" style="22" customWidth="1"/>
    <col min="9222" max="9222" width="7.28515625" style="22" customWidth="1"/>
    <col min="9223" max="9223" width="107.7109375" style="22" customWidth="1"/>
    <col min="9224" max="9224" width="9.140625" style="22" customWidth="1"/>
    <col min="9225" max="9225" width="12.5703125" style="22" customWidth="1"/>
    <col min="9226" max="9226" width="13.140625" style="22" customWidth="1"/>
    <col min="9227" max="9227" width="12.140625" style="22" customWidth="1"/>
    <col min="9228" max="9228" width="11.28515625" style="22" customWidth="1"/>
    <col min="9229" max="9229" width="12.140625" style="22" customWidth="1"/>
    <col min="9230" max="9230" width="9.140625" style="22" customWidth="1"/>
    <col min="9231" max="9231" width="9.28515625" style="22" customWidth="1"/>
    <col min="9232" max="9232" width="2.28515625" style="22" customWidth="1"/>
    <col min="9233" max="9233" width="9.28515625" style="22" bestFit="1" customWidth="1"/>
    <col min="9234" max="9472" width="9.140625" style="22"/>
    <col min="9473" max="9473" width="5.85546875" style="22" customWidth="1"/>
    <col min="9474" max="9474" width="32.85546875" style="22" customWidth="1"/>
    <col min="9475" max="9475" width="32" style="22" customWidth="1"/>
    <col min="9476" max="9476" width="11.28515625" style="22" bestFit="1" customWidth="1"/>
    <col min="9477" max="9477" width="8.140625" style="22" customWidth="1"/>
    <col min="9478" max="9478" width="7.28515625" style="22" customWidth="1"/>
    <col min="9479" max="9479" width="107.7109375" style="22" customWidth="1"/>
    <col min="9480" max="9480" width="9.140625" style="22" customWidth="1"/>
    <col min="9481" max="9481" width="12.5703125" style="22" customWidth="1"/>
    <col min="9482" max="9482" width="13.140625" style="22" customWidth="1"/>
    <col min="9483" max="9483" width="12.140625" style="22" customWidth="1"/>
    <col min="9484" max="9484" width="11.28515625" style="22" customWidth="1"/>
    <col min="9485" max="9485" width="12.140625" style="22" customWidth="1"/>
    <col min="9486" max="9486" width="9.140625" style="22" customWidth="1"/>
    <col min="9487" max="9487" width="9.28515625" style="22" customWidth="1"/>
    <col min="9488" max="9488" width="2.28515625" style="22" customWidth="1"/>
    <col min="9489" max="9489" width="9.28515625" style="22" bestFit="1" customWidth="1"/>
    <col min="9490" max="9728" width="9.140625" style="22"/>
    <col min="9729" max="9729" width="5.85546875" style="22" customWidth="1"/>
    <col min="9730" max="9730" width="32.85546875" style="22" customWidth="1"/>
    <col min="9731" max="9731" width="32" style="22" customWidth="1"/>
    <col min="9732" max="9732" width="11.28515625" style="22" bestFit="1" customWidth="1"/>
    <col min="9733" max="9733" width="8.140625" style="22" customWidth="1"/>
    <col min="9734" max="9734" width="7.28515625" style="22" customWidth="1"/>
    <col min="9735" max="9735" width="107.7109375" style="22" customWidth="1"/>
    <col min="9736" max="9736" width="9.140625" style="22" customWidth="1"/>
    <col min="9737" max="9737" width="12.5703125" style="22" customWidth="1"/>
    <col min="9738" max="9738" width="13.140625" style="22" customWidth="1"/>
    <col min="9739" max="9739" width="12.140625" style="22" customWidth="1"/>
    <col min="9740" max="9740" width="11.28515625" style="22" customWidth="1"/>
    <col min="9741" max="9741" width="12.140625" style="22" customWidth="1"/>
    <col min="9742" max="9742" width="9.140625" style="22" customWidth="1"/>
    <col min="9743" max="9743" width="9.28515625" style="22" customWidth="1"/>
    <col min="9744" max="9744" width="2.28515625" style="22" customWidth="1"/>
    <col min="9745" max="9745" width="9.28515625" style="22" bestFit="1" customWidth="1"/>
    <col min="9746" max="9984" width="9.140625" style="22"/>
    <col min="9985" max="9985" width="5.85546875" style="22" customWidth="1"/>
    <col min="9986" max="9986" width="32.85546875" style="22" customWidth="1"/>
    <col min="9987" max="9987" width="32" style="22" customWidth="1"/>
    <col min="9988" max="9988" width="11.28515625" style="22" bestFit="1" customWidth="1"/>
    <col min="9989" max="9989" width="8.140625" style="22" customWidth="1"/>
    <col min="9990" max="9990" width="7.28515625" style="22" customWidth="1"/>
    <col min="9991" max="9991" width="107.7109375" style="22" customWidth="1"/>
    <col min="9992" max="9992" width="9.140625" style="22" customWidth="1"/>
    <col min="9993" max="9993" width="12.5703125" style="22" customWidth="1"/>
    <col min="9994" max="9994" width="13.140625" style="22" customWidth="1"/>
    <col min="9995" max="9995" width="12.140625" style="22" customWidth="1"/>
    <col min="9996" max="9996" width="11.28515625" style="22" customWidth="1"/>
    <col min="9997" max="9997" width="12.140625" style="22" customWidth="1"/>
    <col min="9998" max="9998" width="9.140625" style="22" customWidth="1"/>
    <col min="9999" max="9999" width="9.28515625" style="22" customWidth="1"/>
    <col min="10000" max="10000" width="2.28515625" style="22" customWidth="1"/>
    <col min="10001" max="10001" width="9.28515625" style="22" bestFit="1" customWidth="1"/>
    <col min="10002" max="10240" width="9.140625" style="22"/>
    <col min="10241" max="10241" width="5.85546875" style="22" customWidth="1"/>
    <col min="10242" max="10242" width="32.85546875" style="22" customWidth="1"/>
    <col min="10243" max="10243" width="32" style="22" customWidth="1"/>
    <col min="10244" max="10244" width="11.28515625" style="22" bestFit="1" customWidth="1"/>
    <col min="10245" max="10245" width="8.140625" style="22" customWidth="1"/>
    <col min="10246" max="10246" width="7.28515625" style="22" customWidth="1"/>
    <col min="10247" max="10247" width="107.7109375" style="22" customWidth="1"/>
    <col min="10248" max="10248" width="9.140625" style="22" customWidth="1"/>
    <col min="10249" max="10249" width="12.5703125" style="22" customWidth="1"/>
    <col min="10250" max="10250" width="13.140625" style="22" customWidth="1"/>
    <col min="10251" max="10251" width="12.140625" style="22" customWidth="1"/>
    <col min="10252" max="10252" width="11.28515625" style="22" customWidth="1"/>
    <col min="10253" max="10253" width="12.140625" style="22" customWidth="1"/>
    <col min="10254" max="10254" width="9.140625" style="22" customWidth="1"/>
    <col min="10255" max="10255" width="9.28515625" style="22" customWidth="1"/>
    <col min="10256" max="10256" width="2.28515625" style="22" customWidth="1"/>
    <col min="10257" max="10257" width="9.28515625" style="22" bestFit="1" customWidth="1"/>
    <col min="10258" max="10496" width="9.140625" style="22"/>
    <col min="10497" max="10497" width="5.85546875" style="22" customWidth="1"/>
    <col min="10498" max="10498" width="32.85546875" style="22" customWidth="1"/>
    <col min="10499" max="10499" width="32" style="22" customWidth="1"/>
    <col min="10500" max="10500" width="11.28515625" style="22" bestFit="1" customWidth="1"/>
    <col min="10501" max="10501" width="8.140625" style="22" customWidth="1"/>
    <col min="10502" max="10502" width="7.28515625" style="22" customWidth="1"/>
    <col min="10503" max="10503" width="107.7109375" style="22" customWidth="1"/>
    <col min="10504" max="10504" width="9.140625" style="22" customWidth="1"/>
    <col min="10505" max="10505" width="12.5703125" style="22" customWidth="1"/>
    <col min="10506" max="10506" width="13.140625" style="22" customWidth="1"/>
    <col min="10507" max="10507" width="12.140625" style="22" customWidth="1"/>
    <col min="10508" max="10508" width="11.28515625" style="22" customWidth="1"/>
    <col min="10509" max="10509" width="12.140625" style="22" customWidth="1"/>
    <col min="10510" max="10510" width="9.140625" style="22" customWidth="1"/>
    <col min="10511" max="10511" width="9.28515625" style="22" customWidth="1"/>
    <col min="10512" max="10512" width="2.28515625" style="22" customWidth="1"/>
    <col min="10513" max="10513" width="9.28515625" style="22" bestFit="1" customWidth="1"/>
    <col min="10514" max="10752" width="9.140625" style="22"/>
    <col min="10753" max="10753" width="5.85546875" style="22" customWidth="1"/>
    <col min="10754" max="10754" width="32.85546875" style="22" customWidth="1"/>
    <col min="10755" max="10755" width="32" style="22" customWidth="1"/>
    <col min="10756" max="10756" width="11.28515625" style="22" bestFit="1" customWidth="1"/>
    <col min="10757" max="10757" width="8.140625" style="22" customWidth="1"/>
    <col min="10758" max="10758" width="7.28515625" style="22" customWidth="1"/>
    <col min="10759" max="10759" width="107.7109375" style="22" customWidth="1"/>
    <col min="10760" max="10760" width="9.140625" style="22" customWidth="1"/>
    <col min="10761" max="10761" width="12.5703125" style="22" customWidth="1"/>
    <col min="10762" max="10762" width="13.140625" style="22" customWidth="1"/>
    <col min="10763" max="10763" width="12.140625" style="22" customWidth="1"/>
    <col min="10764" max="10764" width="11.28515625" style="22" customWidth="1"/>
    <col min="10765" max="10765" width="12.140625" style="22" customWidth="1"/>
    <col min="10766" max="10766" width="9.140625" style="22" customWidth="1"/>
    <col min="10767" max="10767" width="9.28515625" style="22" customWidth="1"/>
    <col min="10768" max="10768" width="2.28515625" style="22" customWidth="1"/>
    <col min="10769" max="10769" width="9.28515625" style="22" bestFit="1" customWidth="1"/>
    <col min="10770" max="11008" width="9.140625" style="22"/>
    <col min="11009" max="11009" width="5.85546875" style="22" customWidth="1"/>
    <col min="11010" max="11010" width="32.85546875" style="22" customWidth="1"/>
    <col min="11011" max="11011" width="32" style="22" customWidth="1"/>
    <col min="11012" max="11012" width="11.28515625" style="22" bestFit="1" customWidth="1"/>
    <col min="11013" max="11013" width="8.140625" style="22" customWidth="1"/>
    <col min="11014" max="11014" width="7.28515625" style="22" customWidth="1"/>
    <col min="11015" max="11015" width="107.7109375" style="22" customWidth="1"/>
    <col min="11016" max="11016" width="9.140625" style="22" customWidth="1"/>
    <col min="11017" max="11017" width="12.5703125" style="22" customWidth="1"/>
    <col min="11018" max="11018" width="13.140625" style="22" customWidth="1"/>
    <col min="11019" max="11019" width="12.140625" style="22" customWidth="1"/>
    <col min="11020" max="11020" width="11.28515625" style="22" customWidth="1"/>
    <col min="11021" max="11021" width="12.140625" style="22" customWidth="1"/>
    <col min="11022" max="11022" width="9.140625" style="22" customWidth="1"/>
    <col min="11023" max="11023" width="9.28515625" style="22" customWidth="1"/>
    <col min="11024" max="11024" width="2.28515625" style="22" customWidth="1"/>
    <col min="11025" max="11025" width="9.28515625" style="22" bestFit="1" customWidth="1"/>
    <col min="11026" max="11264" width="9.140625" style="22"/>
    <col min="11265" max="11265" width="5.85546875" style="22" customWidth="1"/>
    <col min="11266" max="11266" width="32.85546875" style="22" customWidth="1"/>
    <col min="11267" max="11267" width="32" style="22" customWidth="1"/>
    <col min="11268" max="11268" width="11.28515625" style="22" bestFit="1" customWidth="1"/>
    <col min="11269" max="11269" width="8.140625" style="22" customWidth="1"/>
    <col min="11270" max="11270" width="7.28515625" style="22" customWidth="1"/>
    <col min="11271" max="11271" width="107.7109375" style="22" customWidth="1"/>
    <col min="11272" max="11272" width="9.140625" style="22" customWidth="1"/>
    <col min="11273" max="11273" width="12.5703125" style="22" customWidth="1"/>
    <col min="11274" max="11274" width="13.140625" style="22" customWidth="1"/>
    <col min="11275" max="11275" width="12.140625" style="22" customWidth="1"/>
    <col min="11276" max="11276" width="11.28515625" style="22" customWidth="1"/>
    <col min="11277" max="11277" width="12.140625" style="22" customWidth="1"/>
    <col min="11278" max="11278" width="9.140625" style="22" customWidth="1"/>
    <col min="11279" max="11279" width="9.28515625" style="22" customWidth="1"/>
    <col min="11280" max="11280" width="2.28515625" style="22" customWidth="1"/>
    <col min="11281" max="11281" width="9.28515625" style="22" bestFit="1" customWidth="1"/>
    <col min="11282" max="11520" width="9.140625" style="22"/>
    <col min="11521" max="11521" width="5.85546875" style="22" customWidth="1"/>
    <col min="11522" max="11522" width="32.85546875" style="22" customWidth="1"/>
    <col min="11523" max="11523" width="32" style="22" customWidth="1"/>
    <col min="11524" max="11524" width="11.28515625" style="22" bestFit="1" customWidth="1"/>
    <col min="11525" max="11525" width="8.140625" style="22" customWidth="1"/>
    <col min="11526" max="11526" width="7.28515625" style="22" customWidth="1"/>
    <col min="11527" max="11527" width="107.7109375" style="22" customWidth="1"/>
    <col min="11528" max="11528" width="9.140625" style="22" customWidth="1"/>
    <col min="11529" max="11529" width="12.5703125" style="22" customWidth="1"/>
    <col min="11530" max="11530" width="13.140625" style="22" customWidth="1"/>
    <col min="11531" max="11531" width="12.140625" style="22" customWidth="1"/>
    <col min="11532" max="11532" width="11.28515625" style="22" customWidth="1"/>
    <col min="11533" max="11533" width="12.140625" style="22" customWidth="1"/>
    <col min="11534" max="11534" width="9.140625" style="22" customWidth="1"/>
    <col min="11535" max="11535" width="9.28515625" style="22" customWidth="1"/>
    <col min="11536" max="11536" width="2.28515625" style="22" customWidth="1"/>
    <col min="11537" max="11537" width="9.28515625" style="22" bestFit="1" customWidth="1"/>
    <col min="11538" max="11776" width="9.140625" style="22"/>
    <col min="11777" max="11777" width="5.85546875" style="22" customWidth="1"/>
    <col min="11778" max="11778" width="32.85546875" style="22" customWidth="1"/>
    <col min="11779" max="11779" width="32" style="22" customWidth="1"/>
    <col min="11780" max="11780" width="11.28515625" style="22" bestFit="1" customWidth="1"/>
    <col min="11781" max="11781" width="8.140625" style="22" customWidth="1"/>
    <col min="11782" max="11782" width="7.28515625" style="22" customWidth="1"/>
    <col min="11783" max="11783" width="107.7109375" style="22" customWidth="1"/>
    <col min="11784" max="11784" width="9.140625" style="22" customWidth="1"/>
    <col min="11785" max="11785" width="12.5703125" style="22" customWidth="1"/>
    <col min="11786" max="11786" width="13.140625" style="22" customWidth="1"/>
    <col min="11787" max="11787" width="12.140625" style="22" customWidth="1"/>
    <col min="11788" max="11788" width="11.28515625" style="22" customWidth="1"/>
    <col min="11789" max="11789" width="12.140625" style="22" customWidth="1"/>
    <col min="11790" max="11790" width="9.140625" style="22" customWidth="1"/>
    <col min="11791" max="11791" width="9.28515625" style="22" customWidth="1"/>
    <col min="11792" max="11792" width="2.28515625" style="22" customWidth="1"/>
    <col min="11793" max="11793" width="9.28515625" style="22" bestFit="1" customWidth="1"/>
    <col min="11794" max="12032" width="9.140625" style="22"/>
    <col min="12033" max="12033" width="5.85546875" style="22" customWidth="1"/>
    <col min="12034" max="12034" width="32.85546875" style="22" customWidth="1"/>
    <col min="12035" max="12035" width="32" style="22" customWidth="1"/>
    <col min="12036" max="12036" width="11.28515625" style="22" bestFit="1" customWidth="1"/>
    <col min="12037" max="12037" width="8.140625" style="22" customWidth="1"/>
    <col min="12038" max="12038" width="7.28515625" style="22" customWidth="1"/>
    <col min="12039" max="12039" width="107.7109375" style="22" customWidth="1"/>
    <col min="12040" max="12040" width="9.140625" style="22" customWidth="1"/>
    <col min="12041" max="12041" width="12.5703125" style="22" customWidth="1"/>
    <col min="12042" max="12042" width="13.140625" style="22" customWidth="1"/>
    <col min="12043" max="12043" width="12.140625" style="22" customWidth="1"/>
    <col min="12044" max="12044" width="11.28515625" style="22" customWidth="1"/>
    <col min="12045" max="12045" width="12.140625" style="22" customWidth="1"/>
    <col min="12046" max="12046" width="9.140625" style="22" customWidth="1"/>
    <col min="12047" max="12047" width="9.28515625" style="22" customWidth="1"/>
    <col min="12048" max="12048" width="2.28515625" style="22" customWidth="1"/>
    <col min="12049" max="12049" width="9.28515625" style="22" bestFit="1" customWidth="1"/>
    <col min="12050" max="12288" width="9.140625" style="22"/>
    <col min="12289" max="12289" width="5.85546875" style="22" customWidth="1"/>
    <col min="12290" max="12290" width="32.85546875" style="22" customWidth="1"/>
    <col min="12291" max="12291" width="32" style="22" customWidth="1"/>
    <col min="12292" max="12292" width="11.28515625" style="22" bestFit="1" customWidth="1"/>
    <col min="12293" max="12293" width="8.140625" style="22" customWidth="1"/>
    <col min="12294" max="12294" width="7.28515625" style="22" customWidth="1"/>
    <col min="12295" max="12295" width="107.7109375" style="22" customWidth="1"/>
    <col min="12296" max="12296" width="9.140625" style="22" customWidth="1"/>
    <col min="12297" max="12297" width="12.5703125" style="22" customWidth="1"/>
    <col min="12298" max="12298" width="13.140625" style="22" customWidth="1"/>
    <col min="12299" max="12299" width="12.140625" style="22" customWidth="1"/>
    <col min="12300" max="12300" width="11.28515625" style="22" customWidth="1"/>
    <col min="12301" max="12301" width="12.140625" style="22" customWidth="1"/>
    <col min="12302" max="12302" width="9.140625" style="22" customWidth="1"/>
    <col min="12303" max="12303" width="9.28515625" style="22" customWidth="1"/>
    <col min="12304" max="12304" width="2.28515625" style="22" customWidth="1"/>
    <col min="12305" max="12305" width="9.28515625" style="22" bestFit="1" customWidth="1"/>
    <col min="12306" max="12544" width="9.140625" style="22"/>
    <col min="12545" max="12545" width="5.85546875" style="22" customWidth="1"/>
    <col min="12546" max="12546" width="32.85546875" style="22" customWidth="1"/>
    <col min="12547" max="12547" width="32" style="22" customWidth="1"/>
    <col min="12548" max="12548" width="11.28515625" style="22" bestFit="1" customWidth="1"/>
    <col min="12549" max="12549" width="8.140625" style="22" customWidth="1"/>
    <col min="12550" max="12550" width="7.28515625" style="22" customWidth="1"/>
    <col min="12551" max="12551" width="107.7109375" style="22" customWidth="1"/>
    <col min="12552" max="12552" width="9.140625" style="22" customWidth="1"/>
    <col min="12553" max="12553" width="12.5703125" style="22" customWidth="1"/>
    <col min="12554" max="12554" width="13.140625" style="22" customWidth="1"/>
    <col min="12555" max="12555" width="12.140625" style="22" customWidth="1"/>
    <col min="12556" max="12556" width="11.28515625" style="22" customWidth="1"/>
    <col min="12557" max="12557" width="12.140625" style="22" customWidth="1"/>
    <col min="12558" max="12558" width="9.140625" style="22" customWidth="1"/>
    <col min="12559" max="12559" width="9.28515625" style="22" customWidth="1"/>
    <col min="12560" max="12560" width="2.28515625" style="22" customWidth="1"/>
    <col min="12561" max="12561" width="9.28515625" style="22" bestFit="1" customWidth="1"/>
    <col min="12562" max="12800" width="9.140625" style="22"/>
    <col min="12801" max="12801" width="5.85546875" style="22" customWidth="1"/>
    <col min="12802" max="12802" width="32.85546875" style="22" customWidth="1"/>
    <col min="12803" max="12803" width="32" style="22" customWidth="1"/>
    <col min="12804" max="12804" width="11.28515625" style="22" bestFit="1" customWidth="1"/>
    <col min="12805" max="12805" width="8.140625" style="22" customWidth="1"/>
    <col min="12806" max="12806" width="7.28515625" style="22" customWidth="1"/>
    <col min="12807" max="12807" width="107.7109375" style="22" customWidth="1"/>
    <col min="12808" max="12808" width="9.140625" style="22" customWidth="1"/>
    <col min="12809" max="12809" width="12.5703125" style="22" customWidth="1"/>
    <col min="12810" max="12810" width="13.140625" style="22" customWidth="1"/>
    <col min="12811" max="12811" width="12.140625" style="22" customWidth="1"/>
    <col min="12812" max="12812" width="11.28515625" style="22" customWidth="1"/>
    <col min="12813" max="12813" width="12.140625" style="22" customWidth="1"/>
    <col min="12814" max="12814" width="9.140625" style="22" customWidth="1"/>
    <col min="12815" max="12815" width="9.28515625" style="22" customWidth="1"/>
    <col min="12816" max="12816" width="2.28515625" style="22" customWidth="1"/>
    <col min="12817" max="12817" width="9.28515625" style="22" bestFit="1" customWidth="1"/>
    <col min="12818" max="13056" width="9.140625" style="22"/>
    <col min="13057" max="13057" width="5.85546875" style="22" customWidth="1"/>
    <col min="13058" max="13058" width="32.85546875" style="22" customWidth="1"/>
    <col min="13059" max="13059" width="32" style="22" customWidth="1"/>
    <col min="13060" max="13060" width="11.28515625" style="22" bestFit="1" customWidth="1"/>
    <col min="13061" max="13061" width="8.140625" style="22" customWidth="1"/>
    <col min="13062" max="13062" width="7.28515625" style="22" customWidth="1"/>
    <col min="13063" max="13063" width="107.7109375" style="22" customWidth="1"/>
    <col min="13064" max="13064" width="9.140625" style="22" customWidth="1"/>
    <col min="13065" max="13065" width="12.5703125" style="22" customWidth="1"/>
    <col min="13066" max="13066" width="13.140625" style="22" customWidth="1"/>
    <col min="13067" max="13067" width="12.140625" style="22" customWidth="1"/>
    <col min="13068" max="13068" width="11.28515625" style="22" customWidth="1"/>
    <col min="13069" max="13069" width="12.140625" style="22" customWidth="1"/>
    <col min="13070" max="13070" width="9.140625" style="22" customWidth="1"/>
    <col min="13071" max="13071" width="9.28515625" style="22" customWidth="1"/>
    <col min="13072" max="13072" width="2.28515625" style="22" customWidth="1"/>
    <col min="13073" max="13073" width="9.28515625" style="22" bestFit="1" customWidth="1"/>
    <col min="13074" max="13312" width="9.140625" style="22"/>
    <col min="13313" max="13313" width="5.85546875" style="22" customWidth="1"/>
    <col min="13314" max="13314" width="32.85546875" style="22" customWidth="1"/>
    <col min="13315" max="13315" width="32" style="22" customWidth="1"/>
    <col min="13316" max="13316" width="11.28515625" style="22" bestFit="1" customWidth="1"/>
    <col min="13317" max="13317" width="8.140625" style="22" customWidth="1"/>
    <col min="13318" max="13318" width="7.28515625" style="22" customWidth="1"/>
    <col min="13319" max="13319" width="107.7109375" style="22" customWidth="1"/>
    <col min="13320" max="13320" width="9.140625" style="22" customWidth="1"/>
    <col min="13321" max="13321" width="12.5703125" style="22" customWidth="1"/>
    <col min="13322" max="13322" width="13.140625" style="22" customWidth="1"/>
    <col min="13323" max="13323" width="12.140625" style="22" customWidth="1"/>
    <col min="13324" max="13324" width="11.28515625" style="22" customWidth="1"/>
    <col min="13325" max="13325" width="12.140625" style="22" customWidth="1"/>
    <col min="13326" max="13326" width="9.140625" style="22" customWidth="1"/>
    <col min="13327" max="13327" width="9.28515625" style="22" customWidth="1"/>
    <col min="13328" max="13328" width="2.28515625" style="22" customWidth="1"/>
    <col min="13329" max="13329" width="9.28515625" style="22" bestFit="1" customWidth="1"/>
    <col min="13330" max="13568" width="9.140625" style="22"/>
    <col min="13569" max="13569" width="5.85546875" style="22" customWidth="1"/>
    <col min="13570" max="13570" width="32.85546875" style="22" customWidth="1"/>
    <col min="13571" max="13571" width="32" style="22" customWidth="1"/>
    <col min="13572" max="13572" width="11.28515625" style="22" bestFit="1" customWidth="1"/>
    <col min="13573" max="13573" width="8.140625" style="22" customWidth="1"/>
    <col min="13574" max="13574" width="7.28515625" style="22" customWidth="1"/>
    <col min="13575" max="13575" width="107.7109375" style="22" customWidth="1"/>
    <col min="13576" max="13576" width="9.140625" style="22" customWidth="1"/>
    <col min="13577" max="13577" width="12.5703125" style="22" customWidth="1"/>
    <col min="13578" max="13578" width="13.140625" style="22" customWidth="1"/>
    <col min="13579" max="13579" width="12.140625" style="22" customWidth="1"/>
    <col min="13580" max="13580" width="11.28515625" style="22" customWidth="1"/>
    <col min="13581" max="13581" width="12.140625" style="22" customWidth="1"/>
    <col min="13582" max="13582" width="9.140625" style="22" customWidth="1"/>
    <col min="13583" max="13583" width="9.28515625" style="22" customWidth="1"/>
    <col min="13584" max="13584" width="2.28515625" style="22" customWidth="1"/>
    <col min="13585" max="13585" width="9.28515625" style="22" bestFit="1" customWidth="1"/>
    <col min="13586" max="13824" width="9.140625" style="22"/>
    <col min="13825" max="13825" width="5.85546875" style="22" customWidth="1"/>
    <col min="13826" max="13826" width="32.85546875" style="22" customWidth="1"/>
    <col min="13827" max="13827" width="32" style="22" customWidth="1"/>
    <col min="13828" max="13828" width="11.28515625" style="22" bestFit="1" customWidth="1"/>
    <col min="13829" max="13829" width="8.140625" style="22" customWidth="1"/>
    <col min="13830" max="13830" width="7.28515625" style="22" customWidth="1"/>
    <col min="13831" max="13831" width="107.7109375" style="22" customWidth="1"/>
    <col min="13832" max="13832" width="9.140625" style="22" customWidth="1"/>
    <col min="13833" max="13833" width="12.5703125" style="22" customWidth="1"/>
    <col min="13834" max="13834" width="13.140625" style="22" customWidth="1"/>
    <col min="13835" max="13835" width="12.140625" style="22" customWidth="1"/>
    <col min="13836" max="13836" width="11.28515625" style="22" customWidth="1"/>
    <col min="13837" max="13837" width="12.140625" style="22" customWidth="1"/>
    <col min="13838" max="13838" width="9.140625" style="22" customWidth="1"/>
    <col min="13839" max="13839" width="9.28515625" style="22" customWidth="1"/>
    <col min="13840" max="13840" width="2.28515625" style="22" customWidth="1"/>
    <col min="13841" max="13841" width="9.28515625" style="22" bestFit="1" customWidth="1"/>
    <col min="13842" max="14080" width="9.140625" style="22"/>
    <col min="14081" max="14081" width="5.85546875" style="22" customWidth="1"/>
    <col min="14082" max="14082" width="32.85546875" style="22" customWidth="1"/>
    <col min="14083" max="14083" width="32" style="22" customWidth="1"/>
    <col min="14084" max="14084" width="11.28515625" style="22" bestFit="1" customWidth="1"/>
    <col min="14085" max="14085" width="8.140625" style="22" customWidth="1"/>
    <col min="14086" max="14086" width="7.28515625" style="22" customWidth="1"/>
    <col min="14087" max="14087" width="107.7109375" style="22" customWidth="1"/>
    <col min="14088" max="14088" width="9.140625" style="22" customWidth="1"/>
    <col min="14089" max="14089" width="12.5703125" style="22" customWidth="1"/>
    <col min="14090" max="14090" width="13.140625" style="22" customWidth="1"/>
    <col min="14091" max="14091" width="12.140625" style="22" customWidth="1"/>
    <col min="14092" max="14092" width="11.28515625" style="22" customWidth="1"/>
    <col min="14093" max="14093" width="12.140625" style="22" customWidth="1"/>
    <col min="14094" max="14094" width="9.140625" style="22" customWidth="1"/>
    <col min="14095" max="14095" width="9.28515625" style="22" customWidth="1"/>
    <col min="14096" max="14096" width="2.28515625" style="22" customWidth="1"/>
    <col min="14097" max="14097" width="9.28515625" style="22" bestFit="1" customWidth="1"/>
    <col min="14098" max="14336" width="9.140625" style="22"/>
    <col min="14337" max="14337" width="5.85546875" style="22" customWidth="1"/>
    <col min="14338" max="14338" width="32.85546875" style="22" customWidth="1"/>
    <col min="14339" max="14339" width="32" style="22" customWidth="1"/>
    <col min="14340" max="14340" width="11.28515625" style="22" bestFit="1" customWidth="1"/>
    <col min="14341" max="14341" width="8.140625" style="22" customWidth="1"/>
    <col min="14342" max="14342" width="7.28515625" style="22" customWidth="1"/>
    <col min="14343" max="14343" width="107.7109375" style="22" customWidth="1"/>
    <col min="14344" max="14344" width="9.140625" style="22" customWidth="1"/>
    <col min="14345" max="14345" width="12.5703125" style="22" customWidth="1"/>
    <col min="14346" max="14346" width="13.140625" style="22" customWidth="1"/>
    <col min="14347" max="14347" width="12.140625" style="22" customWidth="1"/>
    <col min="14348" max="14348" width="11.28515625" style="22" customWidth="1"/>
    <col min="14349" max="14349" width="12.140625" style="22" customWidth="1"/>
    <col min="14350" max="14350" width="9.140625" style="22" customWidth="1"/>
    <col min="14351" max="14351" width="9.28515625" style="22" customWidth="1"/>
    <col min="14352" max="14352" width="2.28515625" style="22" customWidth="1"/>
    <col min="14353" max="14353" width="9.28515625" style="22" bestFit="1" customWidth="1"/>
    <col min="14354" max="14592" width="9.140625" style="22"/>
    <col min="14593" max="14593" width="5.85546875" style="22" customWidth="1"/>
    <col min="14594" max="14594" width="32.85546875" style="22" customWidth="1"/>
    <col min="14595" max="14595" width="32" style="22" customWidth="1"/>
    <col min="14596" max="14596" width="11.28515625" style="22" bestFit="1" customWidth="1"/>
    <col min="14597" max="14597" width="8.140625" style="22" customWidth="1"/>
    <col min="14598" max="14598" width="7.28515625" style="22" customWidth="1"/>
    <col min="14599" max="14599" width="107.7109375" style="22" customWidth="1"/>
    <col min="14600" max="14600" width="9.140625" style="22" customWidth="1"/>
    <col min="14601" max="14601" width="12.5703125" style="22" customWidth="1"/>
    <col min="14602" max="14602" width="13.140625" style="22" customWidth="1"/>
    <col min="14603" max="14603" width="12.140625" style="22" customWidth="1"/>
    <col min="14604" max="14604" width="11.28515625" style="22" customWidth="1"/>
    <col min="14605" max="14605" width="12.140625" style="22" customWidth="1"/>
    <col min="14606" max="14606" width="9.140625" style="22" customWidth="1"/>
    <col min="14607" max="14607" width="9.28515625" style="22" customWidth="1"/>
    <col min="14608" max="14608" width="2.28515625" style="22" customWidth="1"/>
    <col min="14609" max="14609" width="9.28515625" style="22" bestFit="1" customWidth="1"/>
    <col min="14610" max="14848" width="9.140625" style="22"/>
    <col min="14849" max="14849" width="5.85546875" style="22" customWidth="1"/>
    <col min="14850" max="14850" width="32.85546875" style="22" customWidth="1"/>
    <col min="14851" max="14851" width="32" style="22" customWidth="1"/>
    <col min="14852" max="14852" width="11.28515625" style="22" bestFit="1" customWidth="1"/>
    <col min="14853" max="14853" width="8.140625" style="22" customWidth="1"/>
    <col min="14854" max="14854" width="7.28515625" style="22" customWidth="1"/>
    <col min="14855" max="14855" width="107.7109375" style="22" customWidth="1"/>
    <col min="14856" max="14856" width="9.140625" style="22" customWidth="1"/>
    <col min="14857" max="14857" width="12.5703125" style="22" customWidth="1"/>
    <col min="14858" max="14858" width="13.140625" style="22" customWidth="1"/>
    <col min="14859" max="14859" width="12.140625" style="22" customWidth="1"/>
    <col min="14860" max="14860" width="11.28515625" style="22" customWidth="1"/>
    <col min="14861" max="14861" width="12.140625" style="22" customWidth="1"/>
    <col min="14862" max="14862" width="9.140625" style="22" customWidth="1"/>
    <col min="14863" max="14863" width="9.28515625" style="22" customWidth="1"/>
    <col min="14864" max="14864" width="2.28515625" style="22" customWidth="1"/>
    <col min="14865" max="14865" width="9.28515625" style="22" bestFit="1" customWidth="1"/>
    <col min="14866" max="15104" width="9.140625" style="22"/>
    <col min="15105" max="15105" width="5.85546875" style="22" customWidth="1"/>
    <col min="15106" max="15106" width="32.85546875" style="22" customWidth="1"/>
    <col min="15107" max="15107" width="32" style="22" customWidth="1"/>
    <col min="15108" max="15108" width="11.28515625" style="22" bestFit="1" customWidth="1"/>
    <col min="15109" max="15109" width="8.140625" style="22" customWidth="1"/>
    <col min="15110" max="15110" width="7.28515625" style="22" customWidth="1"/>
    <col min="15111" max="15111" width="107.7109375" style="22" customWidth="1"/>
    <col min="15112" max="15112" width="9.140625" style="22" customWidth="1"/>
    <col min="15113" max="15113" width="12.5703125" style="22" customWidth="1"/>
    <col min="15114" max="15114" width="13.140625" style="22" customWidth="1"/>
    <col min="15115" max="15115" width="12.140625" style="22" customWidth="1"/>
    <col min="15116" max="15116" width="11.28515625" style="22" customWidth="1"/>
    <col min="15117" max="15117" width="12.140625" style="22" customWidth="1"/>
    <col min="15118" max="15118" width="9.140625" style="22" customWidth="1"/>
    <col min="15119" max="15119" width="9.28515625" style="22" customWidth="1"/>
    <col min="15120" max="15120" width="2.28515625" style="22" customWidth="1"/>
    <col min="15121" max="15121" width="9.28515625" style="22" bestFit="1" customWidth="1"/>
    <col min="15122" max="15360" width="9.140625" style="22"/>
    <col min="15361" max="15361" width="5.85546875" style="22" customWidth="1"/>
    <col min="15362" max="15362" width="32.85546875" style="22" customWidth="1"/>
    <col min="15363" max="15363" width="32" style="22" customWidth="1"/>
    <col min="15364" max="15364" width="11.28515625" style="22" bestFit="1" customWidth="1"/>
    <col min="15365" max="15365" width="8.140625" style="22" customWidth="1"/>
    <col min="15366" max="15366" width="7.28515625" style="22" customWidth="1"/>
    <col min="15367" max="15367" width="107.7109375" style="22" customWidth="1"/>
    <col min="15368" max="15368" width="9.140625" style="22" customWidth="1"/>
    <col min="15369" max="15369" width="12.5703125" style="22" customWidth="1"/>
    <col min="15370" max="15370" width="13.140625" style="22" customWidth="1"/>
    <col min="15371" max="15371" width="12.140625" style="22" customWidth="1"/>
    <col min="15372" max="15372" width="11.28515625" style="22" customWidth="1"/>
    <col min="15373" max="15373" width="12.140625" style="22" customWidth="1"/>
    <col min="15374" max="15374" width="9.140625" style="22" customWidth="1"/>
    <col min="15375" max="15375" width="9.28515625" style="22" customWidth="1"/>
    <col min="15376" max="15376" width="2.28515625" style="22" customWidth="1"/>
    <col min="15377" max="15377" width="9.28515625" style="22" bestFit="1" customWidth="1"/>
    <col min="15378" max="15616" width="9.140625" style="22"/>
    <col min="15617" max="15617" width="5.85546875" style="22" customWidth="1"/>
    <col min="15618" max="15618" width="32.85546875" style="22" customWidth="1"/>
    <col min="15619" max="15619" width="32" style="22" customWidth="1"/>
    <col min="15620" max="15620" width="11.28515625" style="22" bestFit="1" customWidth="1"/>
    <col min="15621" max="15621" width="8.140625" style="22" customWidth="1"/>
    <col min="15622" max="15622" width="7.28515625" style="22" customWidth="1"/>
    <col min="15623" max="15623" width="107.7109375" style="22" customWidth="1"/>
    <col min="15624" max="15624" width="9.140625" style="22" customWidth="1"/>
    <col min="15625" max="15625" width="12.5703125" style="22" customWidth="1"/>
    <col min="15626" max="15626" width="13.140625" style="22" customWidth="1"/>
    <col min="15627" max="15627" width="12.140625" style="22" customWidth="1"/>
    <col min="15628" max="15628" width="11.28515625" style="22" customWidth="1"/>
    <col min="15629" max="15629" width="12.140625" style="22" customWidth="1"/>
    <col min="15630" max="15630" width="9.140625" style="22" customWidth="1"/>
    <col min="15631" max="15631" width="9.28515625" style="22" customWidth="1"/>
    <col min="15632" max="15632" width="2.28515625" style="22" customWidth="1"/>
    <col min="15633" max="15633" width="9.28515625" style="22" bestFit="1" customWidth="1"/>
    <col min="15634" max="15872" width="9.140625" style="22"/>
    <col min="15873" max="15873" width="5.85546875" style="22" customWidth="1"/>
    <col min="15874" max="15874" width="32.85546875" style="22" customWidth="1"/>
    <col min="15875" max="15875" width="32" style="22" customWidth="1"/>
    <col min="15876" max="15876" width="11.28515625" style="22" bestFit="1" customWidth="1"/>
    <col min="15877" max="15877" width="8.140625" style="22" customWidth="1"/>
    <col min="15878" max="15878" width="7.28515625" style="22" customWidth="1"/>
    <col min="15879" max="15879" width="107.7109375" style="22" customWidth="1"/>
    <col min="15880" max="15880" width="9.140625" style="22" customWidth="1"/>
    <col min="15881" max="15881" width="12.5703125" style="22" customWidth="1"/>
    <col min="15882" max="15882" width="13.140625" style="22" customWidth="1"/>
    <col min="15883" max="15883" width="12.140625" style="22" customWidth="1"/>
    <col min="15884" max="15884" width="11.28515625" style="22" customWidth="1"/>
    <col min="15885" max="15885" width="12.140625" style="22" customWidth="1"/>
    <col min="15886" max="15886" width="9.140625" style="22" customWidth="1"/>
    <col min="15887" max="15887" width="9.28515625" style="22" customWidth="1"/>
    <col min="15888" max="15888" width="2.28515625" style="22" customWidth="1"/>
    <col min="15889" max="15889" width="9.28515625" style="22" bestFit="1" customWidth="1"/>
    <col min="15890" max="16128" width="9.140625" style="22"/>
    <col min="16129" max="16129" width="5.85546875" style="22" customWidth="1"/>
    <col min="16130" max="16130" width="32.85546875" style="22" customWidth="1"/>
    <col min="16131" max="16131" width="32" style="22" customWidth="1"/>
    <col min="16132" max="16132" width="11.28515625" style="22" bestFit="1" customWidth="1"/>
    <col min="16133" max="16133" width="8.140625" style="22" customWidth="1"/>
    <col min="16134" max="16134" width="7.28515625" style="22" customWidth="1"/>
    <col min="16135" max="16135" width="107.7109375" style="22" customWidth="1"/>
    <col min="16136" max="16136" width="9.140625" style="22" customWidth="1"/>
    <col min="16137" max="16137" width="12.5703125" style="22" customWidth="1"/>
    <col min="16138" max="16138" width="13.140625" style="22" customWidth="1"/>
    <col min="16139" max="16139" width="12.140625" style="22" customWidth="1"/>
    <col min="16140" max="16140" width="11.28515625" style="22" customWidth="1"/>
    <col min="16141" max="16141" width="12.140625" style="22" customWidth="1"/>
    <col min="16142" max="16142" width="9.140625" style="22" customWidth="1"/>
    <col min="16143" max="16143" width="9.28515625" style="22" customWidth="1"/>
    <col min="16144" max="16144" width="2.28515625" style="22" customWidth="1"/>
    <col min="16145" max="16145" width="9.28515625" style="22" bestFit="1" customWidth="1"/>
    <col min="16146" max="16384" width="9.140625" style="22"/>
  </cols>
  <sheetData>
    <row r="1" spans="1:22" ht="15.75">
      <c r="A1" s="20"/>
      <c r="B1" s="20"/>
      <c r="C1" s="20"/>
      <c r="D1" s="20"/>
      <c r="E1" s="20"/>
      <c r="F1" s="20"/>
      <c r="G1" s="21"/>
      <c r="H1" s="144"/>
      <c r="I1" s="144"/>
      <c r="J1" s="185" t="s">
        <v>391</v>
      </c>
      <c r="K1" s="185"/>
      <c r="L1" s="185"/>
      <c r="M1" s="185"/>
      <c r="N1" s="185"/>
      <c r="O1" s="185"/>
      <c r="P1" s="185"/>
      <c r="Q1" s="185"/>
    </row>
    <row r="2" spans="1:22" ht="64.5" customHeight="1">
      <c r="A2" s="20"/>
      <c r="B2" s="20"/>
      <c r="C2" s="20"/>
      <c r="D2" s="20"/>
      <c r="E2" s="20"/>
      <c r="F2" s="20"/>
      <c r="G2" s="21"/>
      <c r="I2" s="189" t="s">
        <v>416</v>
      </c>
      <c r="J2" s="189"/>
      <c r="K2" s="189"/>
      <c r="L2" s="189"/>
      <c r="M2" s="189"/>
      <c r="N2" s="189"/>
      <c r="O2" s="189"/>
      <c r="P2" s="189"/>
      <c r="Q2" s="189"/>
    </row>
    <row r="3" spans="1:22" ht="5.25" customHeight="1">
      <c r="A3" s="187"/>
      <c r="B3" s="187"/>
      <c r="C3" s="187"/>
      <c r="D3" s="187"/>
      <c r="E3" s="187"/>
      <c r="F3" s="187"/>
      <c r="G3" s="187"/>
      <c r="H3" s="188"/>
      <c r="I3" s="188"/>
      <c r="J3" s="188"/>
      <c r="Q3" s="126"/>
    </row>
    <row r="4" spans="1:22" ht="6.75" customHeight="1">
      <c r="A4" s="23"/>
      <c r="B4" s="23"/>
      <c r="C4" s="23"/>
      <c r="D4" s="23"/>
      <c r="E4" s="23"/>
      <c r="F4" s="23"/>
      <c r="G4" s="21"/>
      <c r="H4" s="188"/>
      <c r="I4" s="188"/>
      <c r="J4" s="188"/>
      <c r="Q4" s="126"/>
    </row>
    <row r="5" spans="1:22" ht="76.5" hidden="1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Q5" s="126"/>
    </row>
    <row r="6" spans="1:22" ht="23.25" customHeight="1">
      <c r="A6" s="204" t="s">
        <v>150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</row>
    <row r="7" spans="1:22" ht="47.25">
      <c r="A7" s="24" t="s">
        <v>151</v>
      </c>
      <c r="B7" s="25" t="s">
        <v>152</v>
      </c>
      <c r="C7" s="25" t="s">
        <v>153</v>
      </c>
      <c r="D7" s="25" t="s">
        <v>154</v>
      </c>
      <c r="E7" s="25" t="s">
        <v>155</v>
      </c>
      <c r="F7" s="193" t="s">
        <v>156</v>
      </c>
      <c r="G7" s="193"/>
      <c r="H7" s="25" t="s">
        <v>157</v>
      </c>
      <c r="I7" s="25" t="s">
        <v>158</v>
      </c>
      <c r="J7" s="26" t="s">
        <v>159</v>
      </c>
      <c r="K7" s="194" t="s">
        <v>160</v>
      </c>
      <c r="L7" s="194"/>
      <c r="M7" s="194" t="s">
        <v>161</v>
      </c>
      <c r="N7" s="195"/>
      <c r="O7" s="196" t="s">
        <v>99</v>
      </c>
      <c r="P7" s="197"/>
      <c r="Q7" s="26" t="s">
        <v>398</v>
      </c>
      <c r="R7" s="114" t="s">
        <v>388</v>
      </c>
      <c r="S7" s="104" t="s">
        <v>386</v>
      </c>
    </row>
    <row r="8" spans="1:22" ht="15.75" customHeight="1">
      <c r="A8" s="198" t="s">
        <v>162</v>
      </c>
      <c r="B8" s="201" t="s">
        <v>163</v>
      </c>
      <c r="C8" s="201" t="s">
        <v>164</v>
      </c>
      <c r="D8" s="201" t="s">
        <v>165</v>
      </c>
      <c r="E8" s="201" t="s">
        <v>166</v>
      </c>
      <c r="F8" s="27">
        <v>1</v>
      </c>
      <c r="G8" s="28" t="s">
        <v>167</v>
      </c>
      <c r="H8" s="29"/>
      <c r="I8" s="30" t="s">
        <v>1</v>
      </c>
      <c r="J8" s="127">
        <f>SUM(J9:J14)</f>
        <v>712</v>
      </c>
      <c r="K8" s="31"/>
      <c r="L8" s="32"/>
      <c r="M8" s="128"/>
      <c r="N8" s="129"/>
      <c r="O8" s="128"/>
      <c r="P8" s="130"/>
      <c r="Q8" s="127">
        <f>SUM(Q9:Q14)</f>
        <v>641.11041999999998</v>
      </c>
      <c r="R8" s="115">
        <f>Q8/J8</f>
        <v>0.90043598314606743</v>
      </c>
      <c r="S8" s="104">
        <f>Q9+Q10+Q11+Q12+Q13+Q14</f>
        <v>641.11041999999998</v>
      </c>
      <c r="V8" s="104">
        <f>T8-U8</f>
        <v>0</v>
      </c>
    </row>
    <row r="9" spans="1:22" ht="15.75" customHeight="1">
      <c r="A9" s="199"/>
      <c r="B9" s="202"/>
      <c r="C9" s="202"/>
      <c r="D9" s="202"/>
      <c r="E9" s="202"/>
      <c r="F9" s="33" t="s">
        <v>168</v>
      </c>
      <c r="G9" s="34" t="s">
        <v>169</v>
      </c>
      <c r="H9" s="35" t="s">
        <v>3</v>
      </c>
      <c r="I9" s="36" t="s">
        <v>4</v>
      </c>
      <c r="J9" s="131">
        <f>300+O9</f>
        <v>336</v>
      </c>
      <c r="K9" s="31"/>
      <c r="L9" s="32"/>
      <c r="M9" s="132" t="s">
        <v>149</v>
      </c>
      <c r="N9" s="31"/>
      <c r="O9" s="133" t="s">
        <v>170</v>
      </c>
      <c r="P9" s="134"/>
      <c r="Q9" s="131">
        <v>325.11041999999998</v>
      </c>
      <c r="R9" s="116">
        <f t="shared" ref="R9:R59" si="0">Q9/J9</f>
        <v>0.96759053571428566</v>
      </c>
    </row>
    <row r="10" spans="1:22" ht="15.75" customHeight="1">
      <c r="A10" s="199"/>
      <c r="B10" s="202"/>
      <c r="C10" s="202"/>
      <c r="D10" s="202"/>
      <c r="E10" s="202"/>
      <c r="F10" s="33" t="s">
        <v>171</v>
      </c>
      <c r="G10" s="34" t="s">
        <v>172</v>
      </c>
      <c r="H10" s="35" t="s">
        <v>6</v>
      </c>
      <c r="I10" s="36" t="s">
        <v>7</v>
      </c>
      <c r="J10" s="131">
        <v>30</v>
      </c>
      <c r="K10" s="31"/>
      <c r="L10" s="32"/>
      <c r="M10" s="132"/>
      <c r="N10" s="31">
        <v>30</v>
      </c>
      <c r="O10" s="132"/>
      <c r="P10" s="134"/>
      <c r="Q10" s="131">
        <v>20</v>
      </c>
      <c r="R10" s="116">
        <f t="shared" si="0"/>
        <v>0.66666666666666663</v>
      </c>
    </row>
    <row r="11" spans="1:22" ht="15.75" customHeight="1">
      <c r="A11" s="199"/>
      <c r="B11" s="202"/>
      <c r="C11" s="202"/>
      <c r="D11" s="202"/>
      <c r="E11" s="202"/>
      <c r="F11" s="33" t="s">
        <v>173</v>
      </c>
      <c r="G11" s="34" t="s">
        <v>8</v>
      </c>
      <c r="H11" s="35" t="s">
        <v>6</v>
      </c>
      <c r="I11" s="36" t="s">
        <v>9</v>
      </c>
      <c r="J11" s="131">
        <v>346</v>
      </c>
      <c r="K11" s="31"/>
      <c r="L11" s="32"/>
      <c r="M11" s="132"/>
      <c r="N11" s="31">
        <v>50</v>
      </c>
      <c r="O11" s="132"/>
      <c r="P11" s="134"/>
      <c r="Q11" s="131">
        <v>296</v>
      </c>
      <c r="R11" s="116">
        <f t="shared" si="0"/>
        <v>0.8554913294797688</v>
      </c>
    </row>
    <row r="12" spans="1:22" ht="15.75" hidden="1" customHeight="1" outlineLevel="1">
      <c r="A12" s="199"/>
      <c r="B12" s="202"/>
      <c r="C12" s="202"/>
      <c r="D12" s="202"/>
      <c r="E12" s="202"/>
      <c r="F12" s="33" t="s">
        <v>174</v>
      </c>
      <c r="G12" s="34" t="s">
        <v>175</v>
      </c>
      <c r="H12" s="35" t="s">
        <v>11</v>
      </c>
      <c r="I12" s="36" t="s">
        <v>176</v>
      </c>
      <c r="J12" s="131">
        <v>0</v>
      </c>
      <c r="K12" s="31"/>
      <c r="L12" s="32"/>
      <c r="M12" s="132"/>
      <c r="N12" s="31"/>
      <c r="O12" s="132"/>
      <c r="P12" s="134"/>
      <c r="Q12" s="131">
        <v>0</v>
      </c>
      <c r="R12" s="116"/>
    </row>
    <row r="13" spans="1:22" ht="15.75" hidden="1" customHeight="1" outlineLevel="1">
      <c r="A13" s="199"/>
      <c r="B13" s="202"/>
      <c r="C13" s="202"/>
      <c r="D13" s="202"/>
      <c r="E13" s="202"/>
      <c r="F13" s="33" t="s">
        <v>177</v>
      </c>
      <c r="G13" s="34" t="s">
        <v>178</v>
      </c>
      <c r="H13" s="35" t="s">
        <v>11</v>
      </c>
      <c r="I13" s="36" t="s">
        <v>12</v>
      </c>
      <c r="J13" s="131">
        <v>0</v>
      </c>
      <c r="K13" s="31">
        <v>10</v>
      </c>
      <c r="L13" s="32">
        <v>-10</v>
      </c>
      <c r="M13" s="132"/>
      <c r="N13" s="31"/>
      <c r="O13" s="132"/>
      <c r="P13" s="134"/>
      <c r="Q13" s="131">
        <v>0</v>
      </c>
      <c r="R13" s="116"/>
    </row>
    <row r="14" spans="1:22" ht="15.75" hidden="1" customHeight="1" outlineLevel="1">
      <c r="A14" s="199"/>
      <c r="B14" s="202"/>
      <c r="C14" s="202"/>
      <c r="D14" s="202"/>
      <c r="E14" s="202"/>
      <c r="F14" s="33" t="s">
        <v>179</v>
      </c>
      <c r="G14" s="34" t="s">
        <v>180</v>
      </c>
      <c r="H14" s="35" t="s">
        <v>13</v>
      </c>
      <c r="I14" s="36" t="s">
        <v>14</v>
      </c>
      <c r="J14" s="131">
        <v>0</v>
      </c>
      <c r="K14" s="31">
        <v>10</v>
      </c>
      <c r="L14" s="32">
        <v>-10</v>
      </c>
      <c r="M14" s="132"/>
      <c r="N14" s="31"/>
      <c r="O14" s="132"/>
      <c r="P14" s="134"/>
      <c r="Q14" s="131">
        <v>0</v>
      </c>
      <c r="R14" s="116"/>
    </row>
    <row r="15" spans="1:22" ht="17.25" customHeight="1" collapsed="1">
      <c r="A15" s="199"/>
      <c r="B15" s="202"/>
      <c r="C15" s="202"/>
      <c r="D15" s="202"/>
      <c r="E15" s="202"/>
      <c r="F15" s="27">
        <v>2</v>
      </c>
      <c r="G15" s="28" t="s">
        <v>181</v>
      </c>
      <c r="H15" s="29"/>
      <c r="I15" s="30" t="s">
        <v>15</v>
      </c>
      <c r="J15" s="127">
        <f>J16+J17+J18+J19</f>
        <v>160</v>
      </c>
      <c r="K15" s="31"/>
      <c r="L15" s="32"/>
      <c r="M15" s="132"/>
      <c r="N15" s="31"/>
      <c r="O15" s="132"/>
      <c r="P15" s="134"/>
      <c r="Q15" s="127">
        <f>SUM(Q16:Q19)</f>
        <v>56.562529999999995</v>
      </c>
      <c r="R15" s="115">
        <f t="shared" si="0"/>
        <v>0.35351581249999997</v>
      </c>
      <c r="S15" s="104">
        <f>Q16+Q17+Q18+Q19</f>
        <v>56.562529999999995</v>
      </c>
    </row>
    <row r="16" spans="1:22" ht="15.75" customHeight="1">
      <c r="A16" s="199"/>
      <c r="B16" s="202"/>
      <c r="C16" s="202"/>
      <c r="D16" s="202"/>
      <c r="E16" s="202"/>
      <c r="F16" s="33" t="s">
        <v>182</v>
      </c>
      <c r="G16" s="34" t="s">
        <v>183</v>
      </c>
      <c r="H16" s="35" t="s">
        <v>16</v>
      </c>
      <c r="I16" s="36" t="s">
        <v>17</v>
      </c>
      <c r="J16" s="131" t="s">
        <v>184</v>
      </c>
      <c r="K16" s="31"/>
      <c r="L16" s="32"/>
      <c r="M16" s="132"/>
      <c r="N16" s="31"/>
      <c r="O16" s="132"/>
      <c r="P16" s="134"/>
      <c r="Q16" s="131">
        <v>0</v>
      </c>
      <c r="R16" s="116">
        <f t="shared" si="0"/>
        <v>0</v>
      </c>
    </row>
    <row r="17" spans="1:19" ht="31.5">
      <c r="A17" s="199"/>
      <c r="B17" s="202"/>
      <c r="C17" s="202"/>
      <c r="D17" s="202"/>
      <c r="E17" s="202"/>
      <c r="F17" s="33" t="s">
        <v>185</v>
      </c>
      <c r="G17" s="34" t="s">
        <v>18</v>
      </c>
      <c r="H17" s="35" t="s">
        <v>16</v>
      </c>
      <c r="I17" s="36" t="s">
        <v>19</v>
      </c>
      <c r="J17" s="131" t="s">
        <v>184</v>
      </c>
      <c r="K17" s="31"/>
      <c r="L17" s="32"/>
      <c r="M17" s="132"/>
      <c r="N17" s="31"/>
      <c r="O17" s="132"/>
      <c r="P17" s="134"/>
      <c r="Q17" s="131">
        <v>21.4</v>
      </c>
      <c r="R17" s="116">
        <f t="shared" si="0"/>
        <v>0.42799999999999999</v>
      </c>
    </row>
    <row r="18" spans="1:19" ht="15.75" customHeight="1">
      <c r="A18" s="199"/>
      <c r="B18" s="202"/>
      <c r="C18" s="202"/>
      <c r="D18" s="202"/>
      <c r="E18" s="202"/>
      <c r="F18" s="33" t="s">
        <v>186</v>
      </c>
      <c r="G18" s="34" t="s">
        <v>22</v>
      </c>
      <c r="H18" s="35" t="s">
        <v>21</v>
      </c>
      <c r="I18" s="36" t="s">
        <v>23</v>
      </c>
      <c r="J18" s="131" t="s">
        <v>184</v>
      </c>
      <c r="K18" s="31"/>
      <c r="L18" s="32"/>
      <c r="M18" s="132"/>
      <c r="N18" s="31"/>
      <c r="O18" s="132"/>
      <c r="P18" s="134"/>
      <c r="Q18" s="131">
        <v>25.16253</v>
      </c>
      <c r="R18" s="116">
        <f t="shared" si="0"/>
        <v>0.50325059999999999</v>
      </c>
    </row>
    <row r="19" spans="1:19" ht="15.75" customHeight="1">
      <c r="A19" s="199"/>
      <c r="B19" s="202"/>
      <c r="C19" s="202"/>
      <c r="D19" s="202"/>
      <c r="E19" s="202"/>
      <c r="F19" s="33" t="s">
        <v>187</v>
      </c>
      <c r="G19" s="34" t="s">
        <v>188</v>
      </c>
      <c r="H19" s="35" t="s">
        <v>24</v>
      </c>
      <c r="I19" s="36" t="s">
        <v>26</v>
      </c>
      <c r="J19" s="131" t="s">
        <v>189</v>
      </c>
      <c r="K19" s="31"/>
      <c r="L19" s="32"/>
      <c r="M19" s="132"/>
      <c r="N19" s="31"/>
      <c r="O19" s="132"/>
      <c r="P19" s="134"/>
      <c r="Q19" s="131">
        <v>10</v>
      </c>
      <c r="R19" s="116">
        <f t="shared" si="0"/>
        <v>1</v>
      </c>
    </row>
    <row r="20" spans="1:19" ht="34.5" customHeight="1">
      <c r="A20" s="199"/>
      <c r="B20" s="202"/>
      <c r="C20" s="202"/>
      <c r="D20" s="202"/>
      <c r="E20" s="202"/>
      <c r="F20" s="27">
        <v>3</v>
      </c>
      <c r="G20" s="28" t="s">
        <v>190</v>
      </c>
      <c r="H20" s="29"/>
      <c r="I20" s="30" t="s">
        <v>27</v>
      </c>
      <c r="J20" s="127">
        <f>J21+J22+J23+J24+J25+J26+J27+J28+J29+J30+J31+J33+J32+J34</f>
        <v>15017.78947</v>
      </c>
      <c r="K20" s="127">
        <f t="shared" ref="K20:Q20" si="1">K21+K22+K23+K24+K25+K26+K27+K28+K29+K30+K31+K33+K32+K34</f>
        <v>300</v>
      </c>
      <c r="L20" s="127">
        <f t="shared" si="1"/>
        <v>-230</v>
      </c>
      <c r="M20" s="127">
        <f t="shared" si="1"/>
        <v>1131.8399999999999</v>
      </c>
      <c r="N20" s="127">
        <f t="shared" si="1"/>
        <v>100</v>
      </c>
      <c r="O20" s="127">
        <f t="shared" si="1"/>
        <v>2858.9493000000002</v>
      </c>
      <c r="P20" s="127">
        <f t="shared" si="1"/>
        <v>100</v>
      </c>
      <c r="Q20" s="127">
        <f t="shared" si="1"/>
        <v>13546.607400000001</v>
      </c>
      <c r="R20" s="115">
        <f t="shared" si="0"/>
        <v>0.9020373755445914</v>
      </c>
      <c r="S20" s="104">
        <f>Q21+Q22+Q23+Q24+Q25+Q26+Q27+Q28+Q29+Q30+Q31+Q33</f>
        <v>11795.29867</v>
      </c>
    </row>
    <row r="21" spans="1:19" ht="18" customHeight="1">
      <c r="A21" s="199"/>
      <c r="B21" s="202"/>
      <c r="C21" s="202"/>
      <c r="D21" s="202"/>
      <c r="E21" s="202"/>
      <c r="F21" s="33" t="s">
        <v>191</v>
      </c>
      <c r="G21" s="34" t="s">
        <v>29</v>
      </c>
      <c r="H21" s="35" t="s">
        <v>28</v>
      </c>
      <c r="I21" s="36" t="s">
        <v>30</v>
      </c>
      <c r="J21" s="135">
        <v>0</v>
      </c>
      <c r="K21" s="31"/>
      <c r="L21" s="32"/>
      <c r="M21" s="132"/>
      <c r="N21" s="31"/>
      <c r="O21" s="132">
        <v>270</v>
      </c>
      <c r="P21" s="134"/>
      <c r="Q21" s="135">
        <v>0</v>
      </c>
      <c r="R21" s="116"/>
    </row>
    <row r="22" spans="1:19" ht="15.75" customHeight="1">
      <c r="A22" s="199"/>
      <c r="B22" s="202"/>
      <c r="C22" s="202"/>
      <c r="D22" s="202"/>
      <c r="E22" s="202"/>
      <c r="F22" s="33" t="s">
        <v>192</v>
      </c>
      <c r="G22" s="34" t="s">
        <v>193</v>
      </c>
      <c r="H22" s="35" t="s">
        <v>28</v>
      </c>
      <c r="I22" s="36" t="s">
        <v>31</v>
      </c>
      <c r="J22" s="135">
        <f>185+O22</f>
        <v>235</v>
      </c>
      <c r="K22" s="31"/>
      <c r="L22" s="32"/>
      <c r="M22" s="132"/>
      <c r="N22" s="31"/>
      <c r="O22" s="132">
        <v>50</v>
      </c>
      <c r="P22" s="134"/>
      <c r="Q22" s="135">
        <v>204.63853</v>
      </c>
      <c r="R22" s="116">
        <f t="shared" si="0"/>
        <v>0.8708022553191489</v>
      </c>
    </row>
    <row r="23" spans="1:19" ht="15.75" customHeight="1">
      <c r="A23" s="199"/>
      <c r="B23" s="202"/>
      <c r="C23" s="202"/>
      <c r="D23" s="202"/>
      <c r="E23" s="202"/>
      <c r="F23" s="33" t="s">
        <v>194</v>
      </c>
      <c r="G23" s="34" t="s">
        <v>195</v>
      </c>
      <c r="H23" s="35" t="s">
        <v>32</v>
      </c>
      <c r="I23" s="36" t="s">
        <v>33</v>
      </c>
      <c r="J23" s="135">
        <f>385</f>
        <v>385</v>
      </c>
      <c r="K23" s="31"/>
      <c r="L23" s="32"/>
      <c r="M23" s="132"/>
      <c r="N23" s="31"/>
      <c r="O23" s="132"/>
      <c r="P23" s="134"/>
      <c r="Q23" s="135">
        <v>261.32988</v>
      </c>
      <c r="R23" s="116">
        <f t="shared" si="0"/>
        <v>0.6787789090909091</v>
      </c>
    </row>
    <row r="24" spans="1:19" ht="15.75" customHeight="1">
      <c r="A24" s="199"/>
      <c r="B24" s="202"/>
      <c r="C24" s="202"/>
      <c r="D24" s="202"/>
      <c r="E24" s="202"/>
      <c r="F24" s="33" t="s">
        <v>196</v>
      </c>
      <c r="G24" s="34" t="s">
        <v>197</v>
      </c>
      <c r="H24" s="35" t="s">
        <v>35</v>
      </c>
      <c r="I24" s="36" t="s">
        <v>36</v>
      </c>
      <c r="J24" s="135">
        <v>1055</v>
      </c>
      <c r="K24" s="31"/>
      <c r="L24" s="32"/>
      <c r="M24" s="136">
        <v>-300</v>
      </c>
      <c r="N24" s="31"/>
      <c r="O24" s="132">
        <v>130</v>
      </c>
      <c r="P24" s="134"/>
      <c r="Q24" s="135">
        <v>1055</v>
      </c>
      <c r="R24" s="116">
        <f t="shared" si="0"/>
        <v>1</v>
      </c>
    </row>
    <row r="25" spans="1:19" ht="31.5">
      <c r="A25" s="199"/>
      <c r="B25" s="202"/>
      <c r="C25" s="202"/>
      <c r="D25" s="202"/>
      <c r="E25" s="202"/>
      <c r="F25" s="33" t="s">
        <v>198</v>
      </c>
      <c r="G25" s="34" t="s">
        <v>199</v>
      </c>
      <c r="H25" s="35" t="s">
        <v>43</v>
      </c>
      <c r="I25" s="36" t="s">
        <v>44</v>
      </c>
      <c r="J25" s="135">
        <v>1548</v>
      </c>
      <c r="K25" s="31"/>
      <c r="L25" s="32"/>
      <c r="M25" s="132"/>
      <c r="N25" s="31"/>
      <c r="O25" s="132"/>
      <c r="P25" s="134"/>
      <c r="Q25" s="135">
        <v>1324.9690000000001</v>
      </c>
      <c r="R25" s="116">
        <f t="shared" si="0"/>
        <v>0.85592312661498715</v>
      </c>
    </row>
    <row r="26" spans="1:19" ht="15.75" customHeight="1">
      <c r="A26" s="199"/>
      <c r="B26" s="202"/>
      <c r="C26" s="202"/>
      <c r="D26" s="202"/>
      <c r="E26" s="202"/>
      <c r="F26" s="33" t="s">
        <v>200</v>
      </c>
      <c r="G26" s="34" t="s">
        <v>37</v>
      </c>
      <c r="H26" s="35" t="s">
        <v>35</v>
      </c>
      <c r="I26" s="36" t="s">
        <v>38</v>
      </c>
      <c r="J26" s="135">
        <f>93.19943+6.80057</f>
        <v>100</v>
      </c>
      <c r="K26" s="135">
        <f t="shared" ref="K26:Q26" si="2">93.19943+6.80057</f>
        <v>100</v>
      </c>
      <c r="L26" s="135">
        <f t="shared" si="2"/>
        <v>100</v>
      </c>
      <c r="M26" s="135">
        <f t="shared" si="2"/>
        <v>100</v>
      </c>
      <c r="N26" s="135">
        <f t="shared" si="2"/>
        <v>100</v>
      </c>
      <c r="O26" s="135">
        <f t="shared" si="2"/>
        <v>100</v>
      </c>
      <c r="P26" s="135">
        <f t="shared" si="2"/>
        <v>100</v>
      </c>
      <c r="Q26" s="135">
        <f t="shared" si="2"/>
        <v>100</v>
      </c>
      <c r="R26" s="116">
        <f t="shared" si="0"/>
        <v>1</v>
      </c>
    </row>
    <row r="27" spans="1:19" ht="15.75" customHeight="1">
      <c r="A27" s="199"/>
      <c r="B27" s="202"/>
      <c r="C27" s="202"/>
      <c r="D27" s="202"/>
      <c r="E27" s="202"/>
      <c r="F27" s="33" t="s">
        <v>201</v>
      </c>
      <c r="G27" s="34" t="s">
        <v>202</v>
      </c>
      <c r="H27" s="35" t="s">
        <v>35</v>
      </c>
      <c r="I27" s="36" t="s">
        <v>39</v>
      </c>
      <c r="J27" s="135">
        <v>50</v>
      </c>
      <c r="K27" s="31"/>
      <c r="L27" s="32"/>
      <c r="M27" s="132"/>
      <c r="N27" s="31"/>
      <c r="O27" s="132"/>
      <c r="P27" s="134"/>
      <c r="Q27" s="135">
        <v>50</v>
      </c>
      <c r="R27" s="116">
        <f t="shared" si="0"/>
        <v>1</v>
      </c>
    </row>
    <row r="28" spans="1:19" ht="15.75" customHeight="1">
      <c r="A28" s="199"/>
      <c r="B28" s="202"/>
      <c r="C28" s="202"/>
      <c r="D28" s="202"/>
      <c r="E28" s="202"/>
      <c r="F28" s="33" t="s">
        <v>203</v>
      </c>
      <c r="G28" s="34" t="s">
        <v>204</v>
      </c>
      <c r="H28" s="35" t="s">
        <v>35</v>
      </c>
      <c r="I28" s="36" t="s">
        <v>40</v>
      </c>
      <c r="J28" s="135">
        <v>4512</v>
      </c>
      <c r="K28" s="31">
        <v>200</v>
      </c>
      <c r="L28" s="32">
        <v>-330</v>
      </c>
      <c r="M28" s="132">
        <v>300</v>
      </c>
      <c r="N28" s="31"/>
      <c r="O28" s="133">
        <f>500+100+35+40+5+100+50+100</f>
        <v>930</v>
      </c>
      <c r="P28" s="134"/>
      <c r="Q28" s="135">
        <v>3888.7118500000001</v>
      </c>
      <c r="R28" s="116">
        <f t="shared" si="0"/>
        <v>0.86185989583333333</v>
      </c>
    </row>
    <row r="29" spans="1:19" ht="15.75" customHeight="1">
      <c r="A29" s="199"/>
      <c r="B29" s="202"/>
      <c r="C29" s="202"/>
      <c r="D29" s="202"/>
      <c r="E29" s="202"/>
      <c r="F29" s="33" t="s">
        <v>205</v>
      </c>
      <c r="G29" s="34" t="s">
        <v>41</v>
      </c>
      <c r="H29" s="35" t="s">
        <v>35</v>
      </c>
      <c r="I29" s="36" t="s">
        <v>42</v>
      </c>
      <c r="J29" s="135">
        <f>99.5+301.5+99</f>
        <v>500</v>
      </c>
      <c r="K29" s="31"/>
      <c r="L29" s="32"/>
      <c r="M29" s="136">
        <v>300</v>
      </c>
      <c r="N29" s="31"/>
      <c r="O29" s="132" t="s">
        <v>206</v>
      </c>
      <c r="P29" s="134"/>
      <c r="Q29" s="135">
        <v>499.75529999999998</v>
      </c>
      <c r="R29" s="116">
        <f t="shared" si="0"/>
        <v>0.99951059999999992</v>
      </c>
    </row>
    <row r="30" spans="1:19" ht="15.75">
      <c r="A30" s="199"/>
      <c r="B30" s="202"/>
      <c r="C30" s="202"/>
      <c r="D30" s="202"/>
      <c r="E30" s="202"/>
      <c r="F30" s="33" t="s">
        <v>207</v>
      </c>
      <c r="G30" s="34" t="s">
        <v>45</v>
      </c>
      <c r="H30" s="35" t="s">
        <v>43</v>
      </c>
      <c r="I30" s="36" t="s">
        <v>46</v>
      </c>
      <c r="J30" s="135">
        <f>100</f>
        <v>100</v>
      </c>
      <c r="K30" s="31"/>
      <c r="L30" s="32"/>
      <c r="M30" s="132"/>
      <c r="N30" s="31"/>
      <c r="O30" s="132"/>
      <c r="P30" s="134"/>
      <c r="Q30" s="135">
        <v>100</v>
      </c>
      <c r="R30" s="116">
        <f t="shared" si="0"/>
        <v>1</v>
      </c>
    </row>
    <row r="31" spans="1:19" ht="18" customHeight="1">
      <c r="A31" s="199"/>
      <c r="B31" s="202"/>
      <c r="C31" s="202"/>
      <c r="D31" s="202"/>
      <c r="E31" s="202"/>
      <c r="F31" s="33" t="s">
        <v>208</v>
      </c>
      <c r="G31" s="34" t="s">
        <v>47</v>
      </c>
      <c r="H31" s="35" t="s">
        <v>43</v>
      </c>
      <c r="I31" s="36" t="s">
        <v>48</v>
      </c>
      <c r="J31" s="135">
        <v>3813.2894700000002</v>
      </c>
      <c r="K31" s="31"/>
      <c r="L31" s="32"/>
      <c r="M31" s="136">
        <v>-217.66</v>
      </c>
      <c r="N31" s="31"/>
      <c r="O31" s="132">
        <f>113.237-34.2877</f>
        <v>78.949299999999994</v>
      </c>
      <c r="P31" s="134"/>
      <c r="Q31" s="135">
        <v>3361.3941100000002</v>
      </c>
      <c r="R31" s="116">
        <f t="shared" si="0"/>
        <v>0.88149460890520859</v>
      </c>
    </row>
    <row r="32" spans="1:19" ht="35.25" customHeight="1">
      <c r="A32" s="199"/>
      <c r="B32" s="202"/>
      <c r="C32" s="202"/>
      <c r="D32" s="202"/>
      <c r="E32" s="202"/>
      <c r="F32" s="33" t="s">
        <v>399</v>
      </c>
      <c r="G32" s="34" t="s">
        <v>400</v>
      </c>
      <c r="H32" s="35" t="s">
        <v>43</v>
      </c>
      <c r="I32" s="36" t="s">
        <v>401</v>
      </c>
      <c r="J32" s="135">
        <v>970</v>
      </c>
      <c r="K32" s="31"/>
      <c r="L32" s="32"/>
      <c r="M32" s="136"/>
      <c r="N32" s="31"/>
      <c r="O32" s="132"/>
      <c r="P32" s="134"/>
      <c r="Q32" s="135">
        <v>951.30872999999997</v>
      </c>
      <c r="R32" s="116">
        <f t="shared" si="0"/>
        <v>0.98073064948453603</v>
      </c>
    </row>
    <row r="33" spans="1:19" ht="52.5" customHeight="1">
      <c r="A33" s="199"/>
      <c r="B33" s="202"/>
      <c r="C33" s="202"/>
      <c r="D33" s="202"/>
      <c r="E33" s="202"/>
      <c r="F33" s="33" t="s">
        <v>399</v>
      </c>
      <c r="G33" s="34" t="s">
        <v>209</v>
      </c>
      <c r="H33" s="35" t="s">
        <v>43</v>
      </c>
      <c r="I33" s="36" t="s">
        <v>49</v>
      </c>
      <c r="J33" s="135">
        <v>949.5</v>
      </c>
      <c r="K33" s="31"/>
      <c r="L33" s="32"/>
      <c r="M33" s="132">
        <v>949.5</v>
      </c>
      <c r="N33" s="31"/>
      <c r="O33" s="132">
        <v>800</v>
      </c>
      <c r="P33" s="134"/>
      <c r="Q33" s="135">
        <v>949.5</v>
      </c>
      <c r="R33" s="116">
        <f t="shared" si="0"/>
        <v>1</v>
      </c>
    </row>
    <row r="34" spans="1:19" ht="34.5" customHeight="1">
      <c r="A34" s="199"/>
      <c r="B34" s="202"/>
      <c r="C34" s="202"/>
      <c r="D34" s="202"/>
      <c r="E34" s="202"/>
      <c r="F34" s="33" t="s">
        <v>413</v>
      </c>
      <c r="G34" s="34" t="s">
        <v>410</v>
      </c>
      <c r="H34" s="35" t="s">
        <v>43</v>
      </c>
      <c r="I34" s="36" t="s">
        <v>397</v>
      </c>
      <c r="J34" s="135">
        <v>800</v>
      </c>
      <c r="K34" s="31"/>
      <c r="L34" s="32"/>
      <c r="M34" s="132"/>
      <c r="N34" s="31"/>
      <c r="O34" s="132"/>
      <c r="P34" s="134"/>
      <c r="Q34" s="135">
        <v>800</v>
      </c>
      <c r="R34" s="116">
        <f t="shared" si="0"/>
        <v>1</v>
      </c>
    </row>
    <row r="35" spans="1:19" ht="34.5" customHeight="1">
      <c r="A35" s="199"/>
      <c r="B35" s="202"/>
      <c r="C35" s="202"/>
      <c r="D35" s="202"/>
      <c r="E35" s="202"/>
      <c r="F35" s="27">
        <v>4</v>
      </c>
      <c r="G35" s="28" t="s">
        <v>210</v>
      </c>
      <c r="H35" s="29"/>
      <c r="I35" s="30" t="s">
        <v>50</v>
      </c>
      <c r="J35" s="127">
        <f>J36+J37+J38+J39+J40+J41+J42+J43+J44</f>
        <v>14488.977699999999</v>
      </c>
      <c r="K35" s="127">
        <f t="shared" ref="K35:Q35" si="3">K36+K37+K38+K39+K40+K41+K42+K43+K44</f>
        <v>12340.66</v>
      </c>
      <c r="L35" s="127">
        <f t="shared" si="3"/>
        <v>12480.66</v>
      </c>
      <c r="M35" s="127">
        <f t="shared" si="3"/>
        <v>12340.66</v>
      </c>
      <c r="N35" s="127">
        <f t="shared" si="3"/>
        <v>12340.66</v>
      </c>
      <c r="O35" s="127">
        <f t="shared" si="3"/>
        <v>13375.547699999999</v>
      </c>
      <c r="P35" s="127">
        <f t="shared" si="3"/>
        <v>12340.66</v>
      </c>
      <c r="Q35" s="127">
        <f t="shared" si="3"/>
        <v>14474.197699999997</v>
      </c>
      <c r="R35" s="115">
        <f t="shared" si="0"/>
        <v>0.998979914228179</v>
      </c>
      <c r="S35" s="104">
        <f>Q36+Q37+Q38+Q39+Q40+Q44+Q41+Q42+Q43</f>
        <v>14474.197699999999</v>
      </c>
    </row>
    <row r="36" spans="1:19" ht="15" customHeight="1">
      <c r="A36" s="199"/>
      <c r="B36" s="202"/>
      <c r="C36" s="202"/>
      <c r="D36" s="202"/>
      <c r="E36" s="202"/>
      <c r="F36" s="33" t="s">
        <v>211</v>
      </c>
      <c r="G36" s="34" t="s">
        <v>212</v>
      </c>
      <c r="H36" s="35" t="s">
        <v>53</v>
      </c>
      <c r="I36" s="36" t="s">
        <v>85</v>
      </c>
      <c r="J36" s="131">
        <v>8852.9599999999991</v>
      </c>
      <c r="K36" s="131">
        <v>8852.9599999999991</v>
      </c>
      <c r="L36" s="131">
        <v>8852.9599999999991</v>
      </c>
      <c r="M36" s="131">
        <v>8852.9599999999991</v>
      </c>
      <c r="N36" s="131">
        <v>8852.9599999999991</v>
      </c>
      <c r="O36" s="131">
        <v>8852.9599999999991</v>
      </c>
      <c r="P36" s="131">
        <v>8852.9599999999991</v>
      </c>
      <c r="Q36" s="131">
        <v>8852.9599999999991</v>
      </c>
      <c r="R36" s="116">
        <f t="shared" si="0"/>
        <v>1</v>
      </c>
    </row>
    <row r="37" spans="1:19" ht="19.5" customHeight="1">
      <c r="A37" s="199"/>
      <c r="B37" s="202"/>
      <c r="C37" s="202"/>
      <c r="D37" s="202"/>
      <c r="E37" s="202"/>
      <c r="F37" s="33" t="s">
        <v>213</v>
      </c>
      <c r="G37" s="34" t="s">
        <v>214</v>
      </c>
      <c r="H37" s="35" t="s">
        <v>53</v>
      </c>
      <c r="I37" s="36" t="s">
        <v>85</v>
      </c>
      <c r="J37" s="131">
        <v>19.89</v>
      </c>
      <c r="K37" s="31"/>
      <c r="L37" s="32"/>
      <c r="M37" s="132"/>
      <c r="N37" s="31"/>
      <c r="O37" s="132"/>
      <c r="P37" s="134"/>
      <c r="Q37" s="131">
        <v>19.89</v>
      </c>
      <c r="R37" s="116">
        <f t="shared" si="0"/>
        <v>1</v>
      </c>
    </row>
    <row r="38" spans="1:19" ht="18.75" customHeight="1">
      <c r="A38" s="199"/>
      <c r="B38" s="202"/>
      <c r="C38" s="202"/>
      <c r="D38" s="202"/>
      <c r="E38" s="202"/>
      <c r="F38" s="33" t="s">
        <v>215</v>
      </c>
      <c r="G38" s="34" t="s">
        <v>216</v>
      </c>
      <c r="H38" s="35" t="s">
        <v>53</v>
      </c>
      <c r="I38" s="36" t="s">
        <v>86</v>
      </c>
      <c r="J38" s="131">
        <v>647.65</v>
      </c>
      <c r="K38" s="31"/>
      <c r="L38" s="32"/>
      <c r="M38" s="132"/>
      <c r="N38" s="31"/>
      <c r="O38" s="132"/>
      <c r="P38" s="134"/>
      <c r="Q38" s="131">
        <v>647.65</v>
      </c>
      <c r="R38" s="116">
        <f t="shared" si="0"/>
        <v>1</v>
      </c>
    </row>
    <row r="39" spans="1:19" ht="18.75" customHeight="1">
      <c r="A39" s="199"/>
      <c r="B39" s="202"/>
      <c r="C39" s="202"/>
      <c r="D39" s="202"/>
      <c r="E39" s="202"/>
      <c r="F39" s="33" t="s">
        <v>217</v>
      </c>
      <c r="G39" s="34" t="s">
        <v>218</v>
      </c>
      <c r="H39" s="35" t="s">
        <v>53</v>
      </c>
      <c r="I39" s="36" t="s">
        <v>86</v>
      </c>
      <c r="J39" s="131">
        <v>75.89</v>
      </c>
      <c r="K39" s="31"/>
      <c r="L39" s="32"/>
      <c r="M39" s="132"/>
      <c r="N39" s="31"/>
      <c r="O39" s="132"/>
      <c r="P39" s="134"/>
      <c r="Q39" s="131">
        <v>75.89</v>
      </c>
      <c r="R39" s="116">
        <f t="shared" si="0"/>
        <v>1</v>
      </c>
    </row>
    <row r="40" spans="1:19" ht="15.75">
      <c r="A40" s="199"/>
      <c r="B40" s="202"/>
      <c r="C40" s="202"/>
      <c r="D40" s="202"/>
      <c r="E40" s="202"/>
      <c r="F40" s="33" t="s">
        <v>219</v>
      </c>
      <c r="G40" s="34" t="s">
        <v>51</v>
      </c>
      <c r="H40" s="35" t="s">
        <v>53</v>
      </c>
      <c r="I40" s="36" t="s">
        <v>52</v>
      </c>
      <c r="J40" s="131">
        <f>25+82.4+127.6</f>
        <v>235</v>
      </c>
      <c r="K40" s="31"/>
      <c r="L40" s="32">
        <v>100</v>
      </c>
      <c r="M40" s="132"/>
      <c r="N40" s="31"/>
      <c r="O40" s="132">
        <v>15</v>
      </c>
      <c r="P40" s="134"/>
      <c r="Q40" s="131">
        <v>220.22</v>
      </c>
      <c r="R40" s="116">
        <f t="shared" si="0"/>
        <v>0.9371063829787234</v>
      </c>
    </row>
    <row r="41" spans="1:19" ht="15.75">
      <c r="A41" s="199"/>
      <c r="B41" s="202"/>
      <c r="C41" s="202"/>
      <c r="D41" s="202"/>
      <c r="E41" s="202"/>
      <c r="F41" s="33" t="s">
        <v>222</v>
      </c>
      <c r="G41" s="34" t="s">
        <v>223</v>
      </c>
      <c r="H41" s="35" t="s">
        <v>53</v>
      </c>
      <c r="I41" s="36" t="s">
        <v>87</v>
      </c>
      <c r="J41" s="131">
        <f>150+O41</f>
        <v>184.2877</v>
      </c>
      <c r="K41" s="31"/>
      <c r="L41" s="32">
        <v>40</v>
      </c>
      <c r="M41" s="132"/>
      <c r="N41" s="31"/>
      <c r="O41" s="132">
        <v>34.287700000000001</v>
      </c>
      <c r="P41" s="134"/>
      <c r="Q41" s="131">
        <v>184.2877</v>
      </c>
      <c r="R41" s="116">
        <f t="shared" si="0"/>
        <v>1</v>
      </c>
    </row>
    <row r="42" spans="1:19" ht="15.75">
      <c r="A42" s="199"/>
      <c r="B42" s="202"/>
      <c r="C42" s="202"/>
      <c r="D42" s="202"/>
      <c r="E42" s="202"/>
      <c r="F42" s="38" t="s">
        <v>224</v>
      </c>
      <c r="G42" s="39" t="s">
        <v>225</v>
      </c>
      <c r="H42" s="40" t="s">
        <v>53</v>
      </c>
      <c r="I42" s="41" t="s">
        <v>89</v>
      </c>
      <c r="J42" s="135">
        <f>908.912</f>
        <v>908.91200000000003</v>
      </c>
      <c r="K42" s="31"/>
      <c r="L42" s="32"/>
      <c r="M42" s="132"/>
      <c r="N42" s="31"/>
      <c r="O42" s="132">
        <v>908.91</v>
      </c>
      <c r="P42" s="134"/>
      <c r="Q42" s="135">
        <v>908.91200000000003</v>
      </c>
      <c r="R42" s="116">
        <f t="shared" si="0"/>
        <v>1</v>
      </c>
    </row>
    <row r="43" spans="1:19" ht="15.75">
      <c r="A43" s="199"/>
      <c r="B43" s="202"/>
      <c r="C43" s="202"/>
      <c r="D43" s="202"/>
      <c r="E43" s="202"/>
      <c r="F43" s="42" t="s">
        <v>226</v>
      </c>
      <c r="G43" s="39" t="s">
        <v>227</v>
      </c>
      <c r="H43" s="40" t="s">
        <v>53</v>
      </c>
      <c r="I43" s="41" t="s">
        <v>89</v>
      </c>
      <c r="J43" s="135">
        <f>76.688</f>
        <v>76.688000000000002</v>
      </c>
      <c r="K43" s="31"/>
      <c r="L43" s="32"/>
      <c r="M43" s="132"/>
      <c r="N43" s="31"/>
      <c r="O43" s="132">
        <v>76.69</v>
      </c>
      <c r="P43" s="134"/>
      <c r="Q43" s="135">
        <v>76.688000000000002</v>
      </c>
      <c r="R43" s="116">
        <f t="shared" si="0"/>
        <v>1</v>
      </c>
    </row>
    <row r="44" spans="1:19" ht="15.75">
      <c r="A44" s="199"/>
      <c r="B44" s="202"/>
      <c r="C44" s="202"/>
      <c r="D44" s="202"/>
      <c r="E44" s="202"/>
      <c r="F44" s="33" t="s">
        <v>220</v>
      </c>
      <c r="G44" s="34" t="s">
        <v>221</v>
      </c>
      <c r="H44" s="35" t="s">
        <v>53</v>
      </c>
      <c r="I44" s="36" t="s">
        <v>88</v>
      </c>
      <c r="J44" s="135">
        <v>3487.7</v>
      </c>
      <c r="K44" s="135">
        <v>3487.7</v>
      </c>
      <c r="L44" s="135">
        <v>3487.7</v>
      </c>
      <c r="M44" s="135">
        <v>3487.7</v>
      </c>
      <c r="N44" s="135">
        <v>3487.7</v>
      </c>
      <c r="O44" s="135">
        <v>3487.7</v>
      </c>
      <c r="P44" s="135">
        <v>3487.7</v>
      </c>
      <c r="Q44" s="135">
        <v>3487.7</v>
      </c>
      <c r="R44" s="116">
        <f t="shared" ref="R44" si="4">Q44/J44</f>
        <v>1</v>
      </c>
    </row>
    <row r="45" spans="1:19" ht="34.5" customHeight="1">
      <c r="A45" s="199"/>
      <c r="B45" s="202"/>
      <c r="C45" s="202"/>
      <c r="D45" s="202"/>
      <c r="E45" s="202"/>
      <c r="F45" s="27">
        <v>5</v>
      </c>
      <c r="G45" s="28" t="s">
        <v>228</v>
      </c>
      <c r="H45" s="29"/>
      <c r="I45" s="30" t="s">
        <v>54</v>
      </c>
      <c r="J45" s="127">
        <f>SUM(J46:J52)</f>
        <v>3649.4252699999997</v>
      </c>
      <c r="K45" s="31"/>
      <c r="L45" s="32"/>
      <c r="M45" s="132"/>
      <c r="N45" s="31"/>
      <c r="O45" s="132"/>
      <c r="P45" s="134"/>
      <c r="Q45" s="127">
        <f>SUM(Q46:Q52)</f>
        <v>1725.9023999999999</v>
      </c>
      <c r="R45" s="115">
        <f t="shared" si="0"/>
        <v>0.47292443941453832</v>
      </c>
      <c r="S45" s="104">
        <f>Q46+Q47+Q48+Q49+Q50+Q51+Q52</f>
        <v>1725.9023999999999</v>
      </c>
    </row>
    <row r="46" spans="1:19" ht="31.5">
      <c r="A46" s="199"/>
      <c r="B46" s="202"/>
      <c r="C46" s="202"/>
      <c r="D46" s="202"/>
      <c r="E46" s="202"/>
      <c r="F46" s="33" t="s">
        <v>229</v>
      </c>
      <c r="G46" s="34" t="s">
        <v>230</v>
      </c>
      <c r="H46" s="35" t="s">
        <v>91</v>
      </c>
      <c r="I46" s="36" t="s">
        <v>92</v>
      </c>
      <c r="J46" s="131">
        <v>429</v>
      </c>
      <c r="K46" s="31"/>
      <c r="L46" s="32"/>
      <c r="M46" s="132"/>
      <c r="N46" s="31"/>
      <c r="O46" s="132"/>
      <c r="P46" s="134"/>
      <c r="Q46" s="131">
        <v>429</v>
      </c>
      <c r="R46" s="116">
        <f t="shared" si="0"/>
        <v>1</v>
      </c>
    </row>
    <row r="47" spans="1:19" ht="31.5">
      <c r="A47" s="199"/>
      <c r="B47" s="202"/>
      <c r="C47" s="202"/>
      <c r="D47" s="202"/>
      <c r="E47" s="202"/>
      <c r="F47" s="33"/>
      <c r="G47" s="34" t="s">
        <v>231</v>
      </c>
      <c r="H47" s="35" t="s">
        <v>56</v>
      </c>
      <c r="I47" s="36" t="s">
        <v>92</v>
      </c>
      <c r="J47" s="135">
        <v>855</v>
      </c>
      <c r="K47" s="43">
        <v>429</v>
      </c>
      <c r="L47" s="37"/>
      <c r="M47" s="137"/>
      <c r="N47" s="43"/>
      <c r="O47" s="137"/>
      <c r="P47" s="134"/>
      <c r="Q47" s="135">
        <v>855</v>
      </c>
      <c r="R47" s="116">
        <f t="shared" si="0"/>
        <v>1</v>
      </c>
    </row>
    <row r="48" spans="1:19" ht="15.75">
      <c r="A48" s="199"/>
      <c r="B48" s="202"/>
      <c r="C48" s="202"/>
      <c r="D48" s="202"/>
      <c r="E48" s="202"/>
      <c r="F48" s="33" t="s">
        <v>232</v>
      </c>
      <c r="G48" s="34" t="s">
        <v>62</v>
      </c>
      <c r="H48" s="35" t="s">
        <v>61</v>
      </c>
      <c r="I48" s="36" t="s">
        <v>63</v>
      </c>
      <c r="J48" s="131">
        <f>30+40</f>
        <v>70</v>
      </c>
      <c r="K48" s="31"/>
      <c r="L48" s="32">
        <v>20</v>
      </c>
      <c r="M48" s="132"/>
      <c r="N48" s="31"/>
      <c r="O48" s="132"/>
      <c r="P48" s="134"/>
      <c r="Q48" s="131">
        <v>68.626000000000005</v>
      </c>
      <c r="R48" s="116">
        <f t="shared" si="0"/>
        <v>0.98037142857142867</v>
      </c>
    </row>
    <row r="49" spans="1:19" ht="15.75">
      <c r="A49" s="199"/>
      <c r="B49" s="202"/>
      <c r="C49" s="202"/>
      <c r="D49" s="202"/>
      <c r="E49" s="202"/>
      <c r="F49" s="33" t="s">
        <v>233</v>
      </c>
      <c r="G49" s="34" t="s">
        <v>57</v>
      </c>
      <c r="H49" s="35" t="s">
        <v>56</v>
      </c>
      <c r="I49" s="36" t="s">
        <v>58</v>
      </c>
      <c r="J49" s="131">
        <f>10+90+30</f>
        <v>130</v>
      </c>
      <c r="K49" s="31"/>
      <c r="L49" s="32"/>
      <c r="M49" s="132"/>
      <c r="N49" s="31"/>
      <c r="O49" s="132"/>
      <c r="P49" s="134"/>
      <c r="Q49" s="131">
        <f>7.8+75.88+24.5</f>
        <v>108.17999999999999</v>
      </c>
      <c r="R49" s="116">
        <f t="shared" si="0"/>
        <v>0.83215384615384613</v>
      </c>
    </row>
    <row r="50" spans="1:19" ht="15.75">
      <c r="A50" s="199"/>
      <c r="B50" s="202"/>
      <c r="C50" s="202"/>
      <c r="D50" s="202"/>
      <c r="E50" s="202"/>
      <c r="F50" s="33" t="s">
        <v>234</v>
      </c>
      <c r="G50" s="34" t="s">
        <v>64</v>
      </c>
      <c r="H50" s="35" t="s">
        <v>61</v>
      </c>
      <c r="I50" s="36" t="s">
        <v>65</v>
      </c>
      <c r="J50" s="131">
        <v>220</v>
      </c>
      <c r="K50" s="31"/>
      <c r="L50" s="32">
        <v>120</v>
      </c>
      <c r="M50" s="132"/>
      <c r="N50" s="31"/>
      <c r="O50" s="132"/>
      <c r="P50" s="134"/>
      <c r="Q50" s="131">
        <v>219.67113000000001</v>
      </c>
      <c r="R50" s="116">
        <f t="shared" si="0"/>
        <v>0.99850513636363636</v>
      </c>
    </row>
    <row r="51" spans="1:19" ht="18.75" customHeight="1">
      <c r="A51" s="199"/>
      <c r="B51" s="202"/>
      <c r="C51" s="202"/>
      <c r="D51" s="202"/>
      <c r="E51" s="202"/>
      <c r="F51" s="33" t="s">
        <v>235</v>
      </c>
      <c r="G51" s="34" t="s">
        <v>66</v>
      </c>
      <c r="H51" s="35" t="s">
        <v>61</v>
      </c>
      <c r="I51" s="36" t="s">
        <v>67</v>
      </c>
      <c r="J51" s="131">
        <f>45.42527</f>
        <v>45.425269999999998</v>
      </c>
      <c r="K51" s="31"/>
      <c r="L51" s="32"/>
      <c r="M51" s="132" t="s">
        <v>236</v>
      </c>
      <c r="N51" s="31"/>
      <c r="O51" s="132" t="s">
        <v>237</v>
      </c>
      <c r="P51" s="134"/>
      <c r="Q51" s="131">
        <v>45.425269999999998</v>
      </c>
      <c r="R51" s="116">
        <f t="shared" si="0"/>
        <v>1</v>
      </c>
    </row>
    <row r="52" spans="1:19" ht="18.75" customHeight="1">
      <c r="A52" s="200"/>
      <c r="B52" s="203"/>
      <c r="C52" s="203"/>
      <c r="D52" s="203"/>
      <c r="E52" s="203"/>
      <c r="F52" s="33" t="s">
        <v>238</v>
      </c>
      <c r="G52" s="34" t="s">
        <v>239</v>
      </c>
      <c r="H52" s="35" t="s">
        <v>56</v>
      </c>
      <c r="I52" s="36" t="s">
        <v>59</v>
      </c>
      <c r="J52" s="131">
        <v>1900</v>
      </c>
      <c r="K52" s="31"/>
      <c r="L52" s="32"/>
      <c r="M52" s="132">
        <v>1900</v>
      </c>
      <c r="N52" s="31"/>
      <c r="O52" s="132"/>
      <c r="P52" s="134"/>
      <c r="Q52" s="131">
        <v>0</v>
      </c>
      <c r="R52" s="116">
        <f t="shared" si="0"/>
        <v>0</v>
      </c>
    </row>
    <row r="53" spans="1:19" ht="75.75" customHeight="1">
      <c r="A53" s="44" t="s">
        <v>240</v>
      </c>
      <c r="B53" s="140" t="s">
        <v>241</v>
      </c>
      <c r="C53" s="141" t="s">
        <v>242</v>
      </c>
      <c r="D53" s="45" t="s">
        <v>243</v>
      </c>
      <c r="E53" s="25" t="s">
        <v>244</v>
      </c>
      <c r="F53" s="27">
        <v>6</v>
      </c>
      <c r="G53" s="28" t="s">
        <v>178</v>
      </c>
      <c r="H53" s="29" t="s">
        <v>11</v>
      </c>
      <c r="I53" s="30" t="s">
        <v>78</v>
      </c>
      <c r="J53" s="127">
        <v>10</v>
      </c>
      <c r="K53" s="31">
        <v>10</v>
      </c>
      <c r="L53" s="32"/>
      <c r="M53" s="132"/>
      <c r="N53" s="31"/>
      <c r="O53" s="132"/>
      <c r="P53" s="134"/>
      <c r="Q53" s="127">
        <v>9.4499999999999993</v>
      </c>
      <c r="R53" s="115">
        <f t="shared" si="0"/>
        <v>0.94499999999999995</v>
      </c>
    </row>
    <row r="54" spans="1:19" ht="75" customHeight="1">
      <c r="A54" s="44" t="s">
        <v>245</v>
      </c>
      <c r="B54" s="105" t="s">
        <v>246</v>
      </c>
      <c r="C54" s="142" t="s">
        <v>247</v>
      </c>
      <c r="D54" s="25" t="s">
        <v>248</v>
      </c>
      <c r="E54" s="25" t="s">
        <v>249</v>
      </c>
      <c r="F54" s="27">
        <v>7</v>
      </c>
      <c r="G54" s="28" t="s">
        <v>79</v>
      </c>
      <c r="H54" s="29" t="s">
        <v>70</v>
      </c>
      <c r="I54" s="30" t="s">
        <v>80</v>
      </c>
      <c r="J54" s="127">
        <f>535+41.1</f>
        <v>576.1</v>
      </c>
      <c r="K54" s="31"/>
      <c r="L54" s="32"/>
      <c r="M54" s="132"/>
      <c r="N54" s="31"/>
      <c r="O54" s="132"/>
      <c r="P54" s="134"/>
      <c r="Q54" s="127">
        <v>496.58321999999998</v>
      </c>
      <c r="R54" s="115">
        <f t="shared" si="0"/>
        <v>0.86197399756986626</v>
      </c>
    </row>
    <row r="55" spans="1:19" ht="120.75" customHeight="1">
      <c r="A55" s="44" t="s">
        <v>250</v>
      </c>
      <c r="B55" s="105" t="s">
        <v>251</v>
      </c>
      <c r="C55" s="105" t="s">
        <v>252</v>
      </c>
      <c r="D55" s="25" t="s">
        <v>243</v>
      </c>
      <c r="E55" s="25" t="s">
        <v>253</v>
      </c>
      <c r="F55" s="27">
        <v>8</v>
      </c>
      <c r="G55" s="28" t="s">
        <v>180</v>
      </c>
      <c r="H55" s="29" t="s">
        <v>13</v>
      </c>
      <c r="I55" s="30" t="s">
        <v>81</v>
      </c>
      <c r="J55" s="127">
        <v>10</v>
      </c>
      <c r="K55" s="46">
        <v>10</v>
      </c>
      <c r="L55" s="32"/>
      <c r="M55" s="132"/>
      <c r="N55" s="31"/>
      <c r="O55" s="132"/>
      <c r="P55" s="134"/>
      <c r="Q55" s="127">
        <v>10</v>
      </c>
      <c r="R55" s="115">
        <f t="shared" si="0"/>
        <v>1</v>
      </c>
    </row>
    <row r="56" spans="1:19" ht="63.75">
      <c r="A56" s="44" t="s">
        <v>254</v>
      </c>
      <c r="B56" s="105" t="s">
        <v>255</v>
      </c>
      <c r="C56" s="105" t="s">
        <v>256</v>
      </c>
      <c r="D56" s="25" t="s">
        <v>248</v>
      </c>
      <c r="E56" s="25" t="s">
        <v>257</v>
      </c>
      <c r="F56" s="27">
        <v>9</v>
      </c>
      <c r="G56" s="28" t="s">
        <v>82</v>
      </c>
      <c r="H56" s="29" t="s">
        <v>70</v>
      </c>
      <c r="I56" s="30" t="s">
        <v>83</v>
      </c>
      <c r="J56" s="127">
        <v>53.6</v>
      </c>
      <c r="K56" s="31"/>
      <c r="L56" s="32"/>
      <c r="M56" s="132"/>
      <c r="N56" s="31"/>
      <c r="O56" s="132"/>
      <c r="P56" s="134"/>
      <c r="Q56" s="127">
        <v>53.5</v>
      </c>
      <c r="R56" s="115">
        <f t="shared" si="0"/>
        <v>0.99813432835820892</v>
      </c>
    </row>
    <row r="57" spans="1:19" ht="53.25" customHeight="1">
      <c r="A57" s="44"/>
      <c r="B57" s="206" t="s">
        <v>258</v>
      </c>
      <c r="C57" s="206" t="s">
        <v>259</v>
      </c>
      <c r="D57" s="201" t="s">
        <v>260</v>
      </c>
      <c r="E57" s="201" t="s">
        <v>261</v>
      </c>
      <c r="F57" s="208">
        <v>10</v>
      </c>
      <c r="G57" s="28" t="s">
        <v>262</v>
      </c>
      <c r="H57" s="29" t="s">
        <v>35</v>
      </c>
      <c r="I57" s="30" t="s">
        <v>77</v>
      </c>
      <c r="J57" s="127">
        <v>482.34</v>
      </c>
      <c r="K57" s="31"/>
      <c r="L57" s="32"/>
      <c r="M57" s="132">
        <v>482.34</v>
      </c>
      <c r="N57" s="31"/>
      <c r="O57" s="132"/>
      <c r="P57" s="134"/>
      <c r="Q57" s="127">
        <v>482.34</v>
      </c>
      <c r="R57" s="115">
        <f t="shared" si="0"/>
        <v>1</v>
      </c>
    </row>
    <row r="58" spans="1:19" ht="63" customHeight="1">
      <c r="A58" s="44" t="s">
        <v>263</v>
      </c>
      <c r="B58" s="207"/>
      <c r="C58" s="207"/>
      <c r="D58" s="203"/>
      <c r="E58" s="203"/>
      <c r="F58" s="209"/>
      <c r="G58" s="28" t="s">
        <v>264</v>
      </c>
      <c r="H58" s="29" t="s">
        <v>35</v>
      </c>
      <c r="I58" s="30" t="s">
        <v>84</v>
      </c>
      <c r="J58" s="138">
        <f>104.42283</f>
        <v>104.42283</v>
      </c>
      <c r="K58" s="138">
        <f t="shared" ref="K58:Q58" si="5">104.42283</f>
        <v>104.42283</v>
      </c>
      <c r="L58" s="138">
        <f t="shared" si="5"/>
        <v>104.42283</v>
      </c>
      <c r="M58" s="138">
        <f t="shared" si="5"/>
        <v>104.42283</v>
      </c>
      <c r="N58" s="138">
        <f t="shared" si="5"/>
        <v>104.42283</v>
      </c>
      <c r="O58" s="138">
        <f t="shared" si="5"/>
        <v>104.42283</v>
      </c>
      <c r="P58" s="138">
        <f t="shared" si="5"/>
        <v>104.42283</v>
      </c>
      <c r="Q58" s="138">
        <f t="shared" si="5"/>
        <v>104.42283</v>
      </c>
      <c r="R58" s="115">
        <f t="shared" si="0"/>
        <v>1</v>
      </c>
    </row>
    <row r="59" spans="1:19" ht="28.5" customHeight="1">
      <c r="A59" s="190" t="s">
        <v>265</v>
      </c>
      <c r="B59" s="191"/>
      <c r="C59" s="191"/>
      <c r="D59" s="191"/>
      <c r="E59" s="191"/>
      <c r="F59" s="191"/>
      <c r="G59" s="192"/>
      <c r="H59" s="25"/>
      <c r="I59" s="47"/>
      <c r="J59" s="169">
        <f>J8+J15+J20+J35+J45+J53+J54+J55+J56+J58+J57</f>
        <v>35264.655269999996</v>
      </c>
      <c r="K59" s="48">
        <f>SUM(K8:K58)</f>
        <v>25854.742829999999</v>
      </c>
      <c r="L59" s="48" t="e">
        <f>L57+L9+L10+L11+L12+L13+L14+L16+L17+L18+L19+L21+L22+L23+L24+L25+L26+L27+L28+L29+L30+L31+L33+L36+L37+L38+L39+L40+#REF!+L41+L46+L47+L48+L49+L50+L53+L54+L55+L56+L58</f>
        <v>#REF!</v>
      </c>
      <c r="M59" s="49" t="e">
        <f>M57+M9+M10+M11+M12+M13+M14+M16+M17+M18+M19+M21+M22+M23+M24+M25+M26+M27+M28+M29+M30+M31+M33+M36+M37+M38+M39+M40+#REF!+M41+M46+M47+M48+M49+M50+M53+M54+M55+M56+M58+M52</f>
        <v>#VALUE!</v>
      </c>
      <c r="N59" s="49" t="e">
        <f>N57+N9+N10+N11+N12+N13+N14+N16+N17+N18+N19+N21+N22+N23+N24+N25+N26+N27+N28+N29+N30+N31+N33+N36+N37+N38+N39+N40+#REF!+N41+N46+N47+N48+N49+N50+N53+N54+N55+N56+N58+N52</f>
        <v>#REF!</v>
      </c>
      <c r="O59" s="49">
        <f>SUM(O8:O58)</f>
        <v>32073.416829999998</v>
      </c>
      <c r="P59" s="48" t="e">
        <f>P57+P9+P10+P11+P12+P13+P14+P16+P17+P18+P19+P21+P22+P23+P24+P25+P26+P27+P28+P29+P30+P31+P33+P36+P37+P38+P39+P40+#REF!+P41+P46+P47+P48+P49+P50+P53+P54+P55+P56+P58+P52</f>
        <v>#REF!</v>
      </c>
      <c r="Q59" s="169">
        <f>Q8+Q15+Q20+Q35+Q45+Q53+Q54+Q55+Q56+Q58+Q57</f>
        <v>31600.676499999998</v>
      </c>
      <c r="R59" s="115">
        <f t="shared" si="0"/>
        <v>0.89610053630335695</v>
      </c>
      <c r="S59" s="104">
        <f>Q9+Q10+Q11+Q12+Q13+Q14+Q16+Q17+Q18+Q19+Q21+Q22+Q23+Q24+Q25+Q26+Q27+Q28+Q29+Q30+Q31+Q32+Q33+Q36+Q37+Q38+Q39+Q40+Q41+Q42+Q43+Q46+Q47+Q48+Q49+Q50+Q51+Q52+Q53+Q54+Q55+Q56+Q57+Q58+Q44</f>
        <v>30800.676500000001</v>
      </c>
    </row>
    <row r="60" spans="1:19">
      <c r="K60" s="139"/>
    </row>
    <row r="61" spans="1:19">
      <c r="K61" s="139"/>
    </row>
    <row r="62" spans="1:19">
      <c r="K62" s="139"/>
    </row>
    <row r="63" spans="1:19">
      <c r="K63" s="139"/>
    </row>
    <row r="64" spans="1:19">
      <c r="K64" s="139"/>
    </row>
    <row r="65" spans="11:11">
      <c r="K65" s="139"/>
    </row>
    <row r="66" spans="11:11">
      <c r="K66" s="139"/>
    </row>
    <row r="67" spans="11:11">
      <c r="K67" s="139"/>
    </row>
    <row r="68" spans="11:11">
      <c r="K68" s="139"/>
    </row>
    <row r="69" spans="11:11">
      <c r="K69" s="139"/>
    </row>
    <row r="70" spans="11:11">
      <c r="K70" s="139"/>
    </row>
    <row r="71" spans="11:11">
      <c r="K71" s="139"/>
    </row>
    <row r="72" spans="11:11">
      <c r="K72" s="139"/>
    </row>
    <row r="73" spans="11:11">
      <c r="K73" s="139"/>
    </row>
    <row r="74" spans="11:11">
      <c r="K74" s="139"/>
    </row>
    <row r="75" spans="11:11">
      <c r="K75" s="139"/>
    </row>
    <row r="76" spans="11:11">
      <c r="K76" s="139"/>
    </row>
    <row r="77" spans="11:11">
      <c r="K77" s="139"/>
    </row>
    <row r="78" spans="11:11">
      <c r="K78" s="139"/>
    </row>
    <row r="79" spans="11:11">
      <c r="K79" s="139"/>
    </row>
    <row r="80" spans="11:11">
      <c r="K80" s="139"/>
    </row>
    <row r="81" spans="11:11">
      <c r="K81" s="139"/>
    </row>
    <row r="82" spans="11:11">
      <c r="K82" s="139"/>
    </row>
    <row r="83" spans="11:11">
      <c r="K83" s="139"/>
    </row>
    <row r="84" spans="11:11">
      <c r="K84" s="139"/>
    </row>
    <row r="85" spans="11:11">
      <c r="K85" s="139"/>
    </row>
    <row r="86" spans="11:11">
      <c r="K86" s="139"/>
    </row>
    <row r="87" spans="11:11">
      <c r="K87" s="139"/>
    </row>
    <row r="88" spans="11:11">
      <c r="K88" s="139"/>
    </row>
    <row r="89" spans="11:11">
      <c r="K89" s="139"/>
    </row>
    <row r="90" spans="11:11">
      <c r="K90" s="139"/>
    </row>
    <row r="91" spans="11:11">
      <c r="K91" s="139"/>
    </row>
    <row r="92" spans="11:11">
      <c r="K92" s="139"/>
    </row>
    <row r="93" spans="11:11">
      <c r="K93" s="139"/>
    </row>
    <row r="94" spans="11:11">
      <c r="K94" s="139"/>
    </row>
    <row r="95" spans="11:11">
      <c r="K95" s="139"/>
    </row>
    <row r="96" spans="11:11">
      <c r="K96" s="139"/>
    </row>
    <row r="97" spans="11:11">
      <c r="K97" s="139"/>
    </row>
    <row r="98" spans="11:11">
      <c r="K98" s="139"/>
    </row>
    <row r="99" spans="11:11">
      <c r="K99" s="139"/>
    </row>
    <row r="100" spans="11:11">
      <c r="K100" s="139"/>
    </row>
    <row r="101" spans="11:11">
      <c r="K101" s="139"/>
    </row>
    <row r="102" spans="11:11">
      <c r="K102" s="139"/>
    </row>
  </sheetData>
  <mergeCells count="22">
    <mergeCell ref="A6:Q6"/>
    <mergeCell ref="B57:B58"/>
    <mergeCell ref="C57:C58"/>
    <mergeCell ref="D57:D58"/>
    <mergeCell ref="E57:E58"/>
    <mergeCell ref="F57:F58"/>
    <mergeCell ref="A59:G59"/>
    <mergeCell ref="F7:G7"/>
    <mergeCell ref="K7:L7"/>
    <mergeCell ref="M7:N7"/>
    <mergeCell ref="O7:P7"/>
    <mergeCell ref="A8:A52"/>
    <mergeCell ref="B8:B52"/>
    <mergeCell ref="C8:C52"/>
    <mergeCell ref="D8:D52"/>
    <mergeCell ref="E8:E52"/>
    <mergeCell ref="J1:Q1"/>
    <mergeCell ref="A5:J5"/>
    <mergeCell ref="A3:G3"/>
    <mergeCell ref="H3:J3"/>
    <mergeCell ref="H4:J4"/>
    <mergeCell ref="I2:Q2"/>
  </mergeCells>
  <pageMargins left="0.11811023622047245" right="0.11811023622047245" top="0.94488188976377963" bottom="0.15748031496062992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80" zoomScaleNormal="100" zoomScaleSheetLayoutView="80" workbookViewId="0">
      <selection activeCell="B7" sqref="B7:B9"/>
    </sheetView>
  </sheetViews>
  <sheetFormatPr defaultRowHeight="15" outlineLevelCol="1"/>
  <cols>
    <col min="1" max="1" width="9.140625" style="52"/>
    <col min="2" max="2" width="45.28515625" style="52" customWidth="1"/>
    <col min="3" max="3" width="13.7109375" style="52" customWidth="1"/>
    <col min="4" max="4" width="12.42578125" style="52" customWidth="1"/>
    <col min="5" max="5" width="14.42578125" style="52" customWidth="1"/>
    <col min="6" max="6" width="14.85546875" style="52" customWidth="1" outlineLevel="1"/>
    <col min="7" max="257" width="9.140625" style="52"/>
    <col min="258" max="258" width="45.28515625" style="52" customWidth="1"/>
    <col min="259" max="259" width="12.5703125" style="52" customWidth="1"/>
    <col min="260" max="260" width="12.42578125" style="52" customWidth="1"/>
    <col min="261" max="261" width="14.42578125" style="52" customWidth="1"/>
    <col min="262" max="262" width="0" style="52" hidden="1" customWidth="1"/>
    <col min="263" max="513" width="9.140625" style="52"/>
    <col min="514" max="514" width="45.28515625" style="52" customWidth="1"/>
    <col min="515" max="515" width="12.5703125" style="52" customWidth="1"/>
    <col min="516" max="516" width="12.42578125" style="52" customWidth="1"/>
    <col min="517" max="517" width="14.42578125" style="52" customWidth="1"/>
    <col min="518" max="518" width="0" style="52" hidden="1" customWidth="1"/>
    <col min="519" max="769" width="9.140625" style="52"/>
    <col min="770" max="770" width="45.28515625" style="52" customWidth="1"/>
    <col min="771" max="771" width="12.5703125" style="52" customWidth="1"/>
    <col min="772" max="772" width="12.42578125" style="52" customWidth="1"/>
    <col min="773" max="773" width="14.42578125" style="52" customWidth="1"/>
    <col min="774" max="774" width="0" style="52" hidden="1" customWidth="1"/>
    <col min="775" max="1025" width="9.140625" style="52"/>
    <col min="1026" max="1026" width="45.28515625" style="52" customWidth="1"/>
    <col min="1027" max="1027" width="12.5703125" style="52" customWidth="1"/>
    <col min="1028" max="1028" width="12.42578125" style="52" customWidth="1"/>
    <col min="1029" max="1029" width="14.42578125" style="52" customWidth="1"/>
    <col min="1030" max="1030" width="0" style="52" hidden="1" customWidth="1"/>
    <col min="1031" max="1281" width="9.140625" style="52"/>
    <col min="1282" max="1282" width="45.28515625" style="52" customWidth="1"/>
    <col min="1283" max="1283" width="12.5703125" style="52" customWidth="1"/>
    <col min="1284" max="1284" width="12.42578125" style="52" customWidth="1"/>
    <col min="1285" max="1285" width="14.42578125" style="52" customWidth="1"/>
    <col min="1286" max="1286" width="0" style="52" hidden="1" customWidth="1"/>
    <col min="1287" max="1537" width="9.140625" style="52"/>
    <col min="1538" max="1538" width="45.28515625" style="52" customWidth="1"/>
    <col min="1539" max="1539" width="12.5703125" style="52" customWidth="1"/>
    <col min="1540" max="1540" width="12.42578125" style="52" customWidth="1"/>
    <col min="1541" max="1541" width="14.42578125" style="52" customWidth="1"/>
    <col min="1542" max="1542" width="0" style="52" hidden="1" customWidth="1"/>
    <col min="1543" max="1793" width="9.140625" style="52"/>
    <col min="1794" max="1794" width="45.28515625" style="52" customWidth="1"/>
    <col min="1795" max="1795" width="12.5703125" style="52" customWidth="1"/>
    <col min="1796" max="1796" width="12.42578125" style="52" customWidth="1"/>
    <col min="1797" max="1797" width="14.42578125" style="52" customWidth="1"/>
    <col min="1798" max="1798" width="0" style="52" hidden="1" customWidth="1"/>
    <col min="1799" max="2049" width="9.140625" style="52"/>
    <col min="2050" max="2050" width="45.28515625" style="52" customWidth="1"/>
    <col min="2051" max="2051" width="12.5703125" style="52" customWidth="1"/>
    <col min="2052" max="2052" width="12.42578125" style="52" customWidth="1"/>
    <col min="2053" max="2053" width="14.42578125" style="52" customWidth="1"/>
    <col min="2054" max="2054" width="0" style="52" hidden="1" customWidth="1"/>
    <col min="2055" max="2305" width="9.140625" style="52"/>
    <col min="2306" max="2306" width="45.28515625" style="52" customWidth="1"/>
    <col min="2307" max="2307" width="12.5703125" style="52" customWidth="1"/>
    <col min="2308" max="2308" width="12.42578125" style="52" customWidth="1"/>
    <col min="2309" max="2309" width="14.42578125" style="52" customWidth="1"/>
    <col min="2310" max="2310" width="0" style="52" hidden="1" customWidth="1"/>
    <col min="2311" max="2561" width="9.140625" style="52"/>
    <col min="2562" max="2562" width="45.28515625" style="52" customWidth="1"/>
    <col min="2563" max="2563" width="12.5703125" style="52" customWidth="1"/>
    <col min="2564" max="2564" width="12.42578125" style="52" customWidth="1"/>
    <col min="2565" max="2565" width="14.42578125" style="52" customWidth="1"/>
    <col min="2566" max="2566" width="0" style="52" hidden="1" customWidth="1"/>
    <col min="2567" max="2817" width="9.140625" style="52"/>
    <col min="2818" max="2818" width="45.28515625" style="52" customWidth="1"/>
    <col min="2819" max="2819" width="12.5703125" style="52" customWidth="1"/>
    <col min="2820" max="2820" width="12.42578125" style="52" customWidth="1"/>
    <col min="2821" max="2821" width="14.42578125" style="52" customWidth="1"/>
    <col min="2822" max="2822" width="0" style="52" hidden="1" customWidth="1"/>
    <col min="2823" max="3073" width="9.140625" style="52"/>
    <col min="3074" max="3074" width="45.28515625" style="52" customWidth="1"/>
    <col min="3075" max="3075" width="12.5703125" style="52" customWidth="1"/>
    <col min="3076" max="3076" width="12.42578125" style="52" customWidth="1"/>
    <col min="3077" max="3077" width="14.42578125" style="52" customWidth="1"/>
    <col min="3078" max="3078" width="0" style="52" hidden="1" customWidth="1"/>
    <col min="3079" max="3329" width="9.140625" style="52"/>
    <col min="3330" max="3330" width="45.28515625" style="52" customWidth="1"/>
    <col min="3331" max="3331" width="12.5703125" style="52" customWidth="1"/>
    <col min="3332" max="3332" width="12.42578125" style="52" customWidth="1"/>
    <col min="3333" max="3333" width="14.42578125" style="52" customWidth="1"/>
    <col min="3334" max="3334" width="0" style="52" hidden="1" customWidth="1"/>
    <col min="3335" max="3585" width="9.140625" style="52"/>
    <col min="3586" max="3586" width="45.28515625" style="52" customWidth="1"/>
    <col min="3587" max="3587" width="12.5703125" style="52" customWidth="1"/>
    <col min="3588" max="3588" width="12.42578125" style="52" customWidth="1"/>
    <col min="3589" max="3589" width="14.42578125" style="52" customWidth="1"/>
    <col min="3590" max="3590" width="0" style="52" hidden="1" customWidth="1"/>
    <col min="3591" max="3841" width="9.140625" style="52"/>
    <col min="3842" max="3842" width="45.28515625" style="52" customWidth="1"/>
    <col min="3843" max="3843" width="12.5703125" style="52" customWidth="1"/>
    <col min="3844" max="3844" width="12.42578125" style="52" customWidth="1"/>
    <col min="3845" max="3845" width="14.42578125" style="52" customWidth="1"/>
    <col min="3846" max="3846" width="0" style="52" hidden="1" customWidth="1"/>
    <col min="3847" max="4097" width="9.140625" style="52"/>
    <col min="4098" max="4098" width="45.28515625" style="52" customWidth="1"/>
    <col min="4099" max="4099" width="12.5703125" style="52" customWidth="1"/>
    <col min="4100" max="4100" width="12.42578125" style="52" customWidth="1"/>
    <col min="4101" max="4101" width="14.42578125" style="52" customWidth="1"/>
    <col min="4102" max="4102" width="0" style="52" hidden="1" customWidth="1"/>
    <col min="4103" max="4353" width="9.140625" style="52"/>
    <col min="4354" max="4354" width="45.28515625" style="52" customWidth="1"/>
    <col min="4355" max="4355" width="12.5703125" style="52" customWidth="1"/>
    <col min="4356" max="4356" width="12.42578125" style="52" customWidth="1"/>
    <col min="4357" max="4357" width="14.42578125" style="52" customWidth="1"/>
    <col min="4358" max="4358" width="0" style="52" hidden="1" customWidth="1"/>
    <col min="4359" max="4609" width="9.140625" style="52"/>
    <col min="4610" max="4610" width="45.28515625" style="52" customWidth="1"/>
    <col min="4611" max="4611" width="12.5703125" style="52" customWidth="1"/>
    <col min="4612" max="4612" width="12.42578125" style="52" customWidth="1"/>
    <col min="4613" max="4613" width="14.42578125" style="52" customWidth="1"/>
    <col min="4614" max="4614" width="0" style="52" hidden="1" customWidth="1"/>
    <col min="4615" max="4865" width="9.140625" style="52"/>
    <col min="4866" max="4866" width="45.28515625" style="52" customWidth="1"/>
    <col min="4867" max="4867" width="12.5703125" style="52" customWidth="1"/>
    <col min="4868" max="4868" width="12.42578125" style="52" customWidth="1"/>
    <col min="4869" max="4869" width="14.42578125" style="52" customWidth="1"/>
    <col min="4870" max="4870" width="0" style="52" hidden="1" customWidth="1"/>
    <col min="4871" max="5121" width="9.140625" style="52"/>
    <col min="5122" max="5122" width="45.28515625" style="52" customWidth="1"/>
    <col min="5123" max="5123" width="12.5703125" style="52" customWidth="1"/>
    <col min="5124" max="5124" width="12.42578125" style="52" customWidth="1"/>
    <col min="5125" max="5125" width="14.42578125" style="52" customWidth="1"/>
    <col min="5126" max="5126" width="0" style="52" hidden="1" customWidth="1"/>
    <col min="5127" max="5377" width="9.140625" style="52"/>
    <col min="5378" max="5378" width="45.28515625" style="52" customWidth="1"/>
    <col min="5379" max="5379" width="12.5703125" style="52" customWidth="1"/>
    <col min="5380" max="5380" width="12.42578125" style="52" customWidth="1"/>
    <col min="5381" max="5381" width="14.42578125" style="52" customWidth="1"/>
    <col min="5382" max="5382" width="0" style="52" hidden="1" customWidth="1"/>
    <col min="5383" max="5633" width="9.140625" style="52"/>
    <col min="5634" max="5634" width="45.28515625" style="52" customWidth="1"/>
    <col min="5635" max="5635" width="12.5703125" style="52" customWidth="1"/>
    <col min="5636" max="5636" width="12.42578125" style="52" customWidth="1"/>
    <col min="5637" max="5637" width="14.42578125" style="52" customWidth="1"/>
    <col min="5638" max="5638" width="0" style="52" hidden="1" customWidth="1"/>
    <col min="5639" max="5889" width="9.140625" style="52"/>
    <col min="5890" max="5890" width="45.28515625" style="52" customWidth="1"/>
    <col min="5891" max="5891" width="12.5703125" style="52" customWidth="1"/>
    <col min="5892" max="5892" width="12.42578125" style="52" customWidth="1"/>
    <col min="5893" max="5893" width="14.42578125" style="52" customWidth="1"/>
    <col min="5894" max="5894" width="0" style="52" hidden="1" customWidth="1"/>
    <col min="5895" max="6145" width="9.140625" style="52"/>
    <col min="6146" max="6146" width="45.28515625" style="52" customWidth="1"/>
    <col min="6147" max="6147" width="12.5703125" style="52" customWidth="1"/>
    <col min="6148" max="6148" width="12.42578125" style="52" customWidth="1"/>
    <col min="6149" max="6149" width="14.42578125" style="52" customWidth="1"/>
    <col min="6150" max="6150" width="0" style="52" hidden="1" customWidth="1"/>
    <col min="6151" max="6401" width="9.140625" style="52"/>
    <col min="6402" max="6402" width="45.28515625" style="52" customWidth="1"/>
    <col min="6403" max="6403" width="12.5703125" style="52" customWidth="1"/>
    <col min="6404" max="6404" width="12.42578125" style="52" customWidth="1"/>
    <col min="6405" max="6405" width="14.42578125" style="52" customWidth="1"/>
    <col min="6406" max="6406" width="0" style="52" hidden="1" customWidth="1"/>
    <col min="6407" max="6657" width="9.140625" style="52"/>
    <col min="6658" max="6658" width="45.28515625" style="52" customWidth="1"/>
    <col min="6659" max="6659" width="12.5703125" style="52" customWidth="1"/>
    <col min="6660" max="6660" width="12.42578125" style="52" customWidth="1"/>
    <col min="6661" max="6661" width="14.42578125" style="52" customWidth="1"/>
    <col min="6662" max="6662" width="0" style="52" hidden="1" customWidth="1"/>
    <col min="6663" max="6913" width="9.140625" style="52"/>
    <col min="6914" max="6914" width="45.28515625" style="52" customWidth="1"/>
    <col min="6915" max="6915" width="12.5703125" style="52" customWidth="1"/>
    <col min="6916" max="6916" width="12.42578125" style="52" customWidth="1"/>
    <col min="6917" max="6917" width="14.42578125" style="52" customWidth="1"/>
    <col min="6918" max="6918" width="0" style="52" hidden="1" customWidth="1"/>
    <col min="6919" max="7169" width="9.140625" style="52"/>
    <col min="7170" max="7170" width="45.28515625" style="52" customWidth="1"/>
    <col min="7171" max="7171" width="12.5703125" style="52" customWidth="1"/>
    <col min="7172" max="7172" width="12.42578125" style="52" customWidth="1"/>
    <col min="7173" max="7173" width="14.42578125" style="52" customWidth="1"/>
    <col min="7174" max="7174" width="0" style="52" hidden="1" customWidth="1"/>
    <col min="7175" max="7425" width="9.140625" style="52"/>
    <col min="7426" max="7426" width="45.28515625" style="52" customWidth="1"/>
    <col min="7427" max="7427" width="12.5703125" style="52" customWidth="1"/>
    <col min="7428" max="7428" width="12.42578125" style="52" customWidth="1"/>
    <col min="7429" max="7429" width="14.42578125" style="52" customWidth="1"/>
    <col min="7430" max="7430" width="0" style="52" hidden="1" customWidth="1"/>
    <col min="7431" max="7681" width="9.140625" style="52"/>
    <col min="7682" max="7682" width="45.28515625" style="52" customWidth="1"/>
    <col min="7683" max="7683" width="12.5703125" style="52" customWidth="1"/>
    <col min="7684" max="7684" width="12.42578125" style="52" customWidth="1"/>
    <col min="7685" max="7685" width="14.42578125" style="52" customWidth="1"/>
    <col min="7686" max="7686" width="0" style="52" hidden="1" customWidth="1"/>
    <col min="7687" max="7937" width="9.140625" style="52"/>
    <col min="7938" max="7938" width="45.28515625" style="52" customWidth="1"/>
    <col min="7939" max="7939" width="12.5703125" style="52" customWidth="1"/>
    <col min="7940" max="7940" width="12.42578125" style="52" customWidth="1"/>
    <col min="7941" max="7941" width="14.42578125" style="52" customWidth="1"/>
    <col min="7942" max="7942" width="0" style="52" hidden="1" customWidth="1"/>
    <col min="7943" max="8193" width="9.140625" style="52"/>
    <col min="8194" max="8194" width="45.28515625" style="52" customWidth="1"/>
    <col min="8195" max="8195" width="12.5703125" style="52" customWidth="1"/>
    <col min="8196" max="8196" width="12.42578125" style="52" customWidth="1"/>
    <col min="8197" max="8197" width="14.42578125" style="52" customWidth="1"/>
    <col min="8198" max="8198" width="0" style="52" hidden="1" customWidth="1"/>
    <col min="8199" max="8449" width="9.140625" style="52"/>
    <col min="8450" max="8450" width="45.28515625" style="52" customWidth="1"/>
    <col min="8451" max="8451" width="12.5703125" style="52" customWidth="1"/>
    <col min="8452" max="8452" width="12.42578125" style="52" customWidth="1"/>
    <col min="8453" max="8453" width="14.42578125" style="52" customWidth="1"/>
    <col min="8454" max="8454" width="0" style="52" hidden="1" customWidth="1"/>
    <col min="8455" max="8705" width="9.140625" style="52"/>
    <col min="8706" max="8706" width="45.28515625" style="52" customWidth="1"/>
    <col min="8707" max="8707" width="12.5703125" style="52" customWidth="1"/>
    <col min="8708" max="8708" width="12.42578125" style="52" customWidth="1"/>
    <col min="8709" max="8709" width="14.42578125" style="52" customWidth="1"/>
    <col min="8710" max="8710" width="0" style="52" hidden="1" customWidth="1"/>
    <col min="8711" max="8961" width="9.140625" style="52"/>
    <col min="8962" max="8962" width="45.28515625" style="52" customWidth="1"/>
    <col min="8963" max="8963" width="12.5703125" style="52" customWidth="1"/>
    <col min="8964" max="8964" width="12.42578125" style="52" customWidth="1"/>
    <col min="8965" max="8965" width="14.42578125" style="52" customWidth="1"/>
    <col min="8966" max="8966" width="0" style="52" hidden="1" customWidth="1"/>
    <col min="8967" max="9217" width="9.140625" style="52"/>
    <col min="9218" max="9218" width="45.28515625" style="52" customWidth="1"/>
    <col min="9219" max="9219" width="12.5703125" style="52" customWidth="1"/>
    <col min="9220" max="9220" width="12.42578125" style="52" customWidth="1"/>
    <col min="9221" max="9221" width="14.42578125" style="52" customWidth="1"/>
    <col min="9222" max="9222" width="0" style="52" hidden="1" customWidth="1"/>
    <col min="9223" max="9473" width="9.140625" style="52"/>
    <col min="9474" max="9474" width="45.28515625" style="52" customWidth="1"/>
    <col min="9475" max="9475" width="12.5703125" style="52" customWidth="1"/>
    <col min="9476" max="9476" width="12.42578125" style="52" customWidth="1"/>
    <col min="9477" max="9477" width="14.42578125" style="52" customWidth="1"/>
    <col min="9478" max="9478" width="0" style="52" hidden="1" customWidth="1"/>
    <col min="9479" max="9729" width="9.140625" style="52"/>
    <col min="9730" max="9730" width="45.28515625" style="52" customWidth="1"/>
    <col min="9731" max="9731" width="12.5703125" style="52" customWidth="1"/>
    <col min="9732" max="9732" width="12.42578125" style="52" customWidth="1"/>
    <col min="9733" max="9733" width="14.42578125" style="52" customWidth="1"/>
    <col min="9734" max="9734" width="0" style="52" hidden="1" customWidth="1"/>
    <col min="9735" max="9985" width="9.140625" style="52"/>
    <col min="9986" max="9986" width="45.28515625" style="52" customWidth="1"/>
    <col min="9987" max="9987" width="12.5703125" style="52" customWidth="1"/>
    <col min="9988" max="9988" width="12.42578125" style="52" customWidth="1"/>
    <col min="9989" max="9989" width="14.42578125" style="52" customWidth="1"/>
    <col min="9990" max="9990" width="0" style="52" hidden="1" customWidth="1"/>
    <col min="9991" max="10241" width="9.140625" style="52"/>
    <col min="10242" max="10242" width="45.28515625" style="52" customWidth="1"/>
    <col min="10243" max="10243" width="12.5703125" style="52" customWidth="1"/>
    <col min="10244" max="10244" width="12.42578125" style="52" customWidth="1"/>
    <col min="10245" max="10245" width="14.42578125" style="52" customWidth="1"/>
    <col min="10246" max="10246" width="0" style="52" hidden="1" customWidth="1"/>
    <col min="10247" max="10497" width="9.140625" style="52"/>
    <col min="10498" max="10498" width="45.28515625" style="52" customWidth="1"/>
    <col min="10499" max="10499" width="12.5703125" style="52" customWidth="1"/>
    <col min="10500" max="10500" width="12.42578125" style="52" customWidth="1"/>
    <col min="10501" max="10501" width="14.42578125" style="52" customWidth="1"/>
    <col min="10502" max="10502" width="0" style="52" hidden="1" customWidth="1"/>
    <col min="10503" max="10753" width="9.140625" style="52"/>
    <col min="10754" max="10754" width="45.28515625" style="52" customWidth="1"/>
    <col min="10755" max="10755" width="12.5703125" style="52" customWidth="1"/>
    <col min="10756" max="10756" width="12.42578125" style="52" customWidth="1"/>
    <col min="10757" max="10757" width="14.42578125" style="52" customWidth="1"/>
    <col min="10758" max="10758" width="0" style="52" hidden="1" customWidth="1"/>
    <col min="10759" max="11009" width="9.140625" style="52"/>
    <col min="11010" max="11010" width="45.28515625" style="52" customWidth="1"/>
    <col min="11011" max="11011" width="12.5703125" style="52" customWidth="1"/>
    <col min="11012" max="11012" width="12.42578125" style="52" customWidth="1"/>
    <col min="11013" max="11013" width="14.42578125" style="52" customWidth="1"/>
    <col min="11014" max="11014" width="0" style="52" hidden="1" customWidth="1"/>
    <col min="11015" max="11265" width="9.140625" style="52"/>
    <col min="11266" max="11266" width="45.28515625" style="52" customWidth="1"/>
    <col min="11267" max="11267" width="12.5703125" style="52" customWidth="1"/>
    <col min="11268" max="11268" width="12.42578125" style="52" customWidth="1"/>
    <col min="11269" max="11269" width="14.42578125" style="52" customWidth="1"/>
    <col min="11270" max="11270" width="0" style="52" hidden="1" customWidth="1"/>
    <col min="11271" max="11521" width="9.140625" style="52"/>
    <col min="11522" max="11522" width="45.28515625" style="52" customWidth="1"/>
    <col min="11523" max="11523" width="12.5703125" style="52" customWidth="1"/>
    <col min="11524" max="11524" width="12.42578125" style="52" customWidth="1"/>
    <col min="11525" max="11525" width="14.42578125" style="52" customWidth="1"/>
    <col min="11526" max="11526" width="0" style="52" hidden="1" customWidth="1"/>
    <col min="11527" max="11777" width="9.140625" style="52"/>
    <col min="11778" max="11778" width="45.28515625" style="52" customWidth="1"/>
    <col min="11779" max="11779" width="12.5703125" style="52" customWidth="1"/>
    <col min="11780" max="11780" width="12.42578125" style="52" customWidth="1"/>
    <col min="11781" max="11781" width="14.42578125" style="52" customWidth="1"/>
    <col min="11782" max="11782" width="0" style="52" hidden="1" customWidth="1"/>
    <col min="11783" max="12033" width="9.140625" style="52"/>
    <col min="12034" max="12034" width="45.28515625" style="52" customWidth="1"/>
    <col min="12035" max="12035" width="12.5703125" style="52" customWidth="1"/>
    <col min="12036" max="12036" width="12.42578125" style="52" customWidth="1"/>
    <col min="12037" max="12037" width="14.42578125" style="52" customWidth="1"/>
    <col min="12038" max="12038" width="0" style="52" hidden="1" customWidth="1"/>
    <col min="12039" max="12289" width="9.140625" style="52"/>
    <col min="12290" max="12290" width="45.28515625" style="52" customWidth="1"/>
    <col min="12291" max="12291" width="12.5703125" style="52" customWidth="1"/>
    <col min="12292" max="12292" width="12.42578125" style="52" customWidth="1"/>
    <col min="12293" max="12293" width="14.42578125" style="52" customWidth="1"/>
    <col min="12294" max="12294" width="0" style="52" hidden="1" customWidth="1"/>
    <col min="12295" max="12545" width="9.140625" style="52"/>
    <col min="12546" max="12546" width="45.28515625" style="52" customWidth="1"/>
    <col min="12547" max="12547" width="12.5703125" style="52" customWidth="1"/>
    <col min="12548" max="12548" width="12.42578125" style="52" customWidth="1"/>
    <col min="12549" max="12549" width="14.42578125" style="52" customWidth="1"/>
    <col min="12550" max="12550" width="0" style="52" hidden="1" customWidth="1"/>
    <col min="12551" max="12801" width="9.140625" style="52"/>
    <col min="12802" max="12802" width="45.28515625" style="52" customWidth="1"/>
    <col min="12803" max="12803" width="12.5703125" style="52" customWidth="1"/>
    <col min="12804" max="12804" width="12.42578125" style="52" customWidth="1"/>
    <col min="12805" max="12805" width="14.42578125" style="52" customWidth="1"/>
    <col min="12806" max="12806" width="0" style="52" hidden="1" customWidth="1"/>
    <col min="12807" max="13057" width="9.140625" style="52"/>
    <col min="13058" max="13058" width="45.28515625" style="52" customWidth="1"/>
    <col min="13059" max="13059" width="12.5703125" style="52" customWidth="1"/>
    <col min="13060" max="13060" width="12.42578125" style="52" customWidth="1"/>
    <col min="13061" max="13061" width="14.42578125" style="52" customWidth="1"/>
    <col min="13062" max="13062" width="0" style="52" hidden="1" customWidth="1"/>
    <col min="13063" max="13313" width="9.140625" style="52"/>
    <col min="13314" max="13314" width="45.28515625" style="52" customWidth="1"/>
    <col min="13315" max="13315" width="12.5703125" style="52" customWidth="1"/>
    <col min="13316" max="13316" width="12.42578125" style="52" customWidth="1"/>
    <col min="13317" max="13317" width="14.42578125" style="52" customWidth="1"/>
    <col min="13318" max="13318" width="0" style="52" hidden="1" customWidth="1"/>
    <col min="13319" max="13569" width="9.140625" style="52"/>
    <col min="13570" max="13570" width="45.28515625" style="52" customWidth="1"/>
    <col min="13571" max="13571" width="12.5703125" style="52" customWidth="1"/>
    <col min="13572" max="13572" width="12.42578125" style="52" customWidth="1"/>
    <col min="13573" max="13573" width="14.42578125" style="52" customWidth="1"/>
    <col min="13574" max="13574" width="0" style="52" hidden="1" customWidth="1"/>
    <col min="13575" max="13825" width="9.140625" style="52"/>
    <col min="13826" max="13826" width="45.28515625" style="52" customWidth="1"/>
    <col min="13827" max="13827" width="12.5703125" style="52" customWidth="1"/>
    <col min="13828" max="13828" width="12.42578125" style="52" customWidth="1"/>
    <col min="13829" max="13829" width="14.42578125" style="52" customWidth="1"/>
    <col min="13830" max="13830" width="0" style="52" hidden="1" customWidth="1"/>
    <col min="13831" max="14081" width="9.140625" style="52"/>
    <col min="14082" max="14082" width="45.28515625" style="52" customWidth="1"/>
    <col min="14083" max="14083" width="12.5703125" style="52" customWidth="1"/>
    <col min="14084" max="14084" width="12.42578125" style="52" customWidth="1"/>
    <col min="14085" max="14085" width="14.42578125" style="52" customWidth="1"/>
    <col min="14086" max="14086" width="0" style="52" hidden="1" customWidth="1"/>
    <col min="14087" max="14337" width="9.140625" style="52"/>
    <col min="14338" max="14338" width="45.28515625" style="52" customWidth="1"/>
    <col min="14339" max="14339" width="12.5703125" style="52" customWidth="1"/>
    <col min="14340" max="14340" width="12.42578125" style="52" customWidth="1"/>
    <col min="14341" max="14341" width="14.42578125" style="52" customWidth="1"/>
    <col min="14342" max="14342" width="0" style="52" hidden="1" customWidth="1"/>
    <col min="14343" max="14593" width="9.140625" style="52"/>
    <col min="14594" max="14594" width="45.28515625" style="52" customWidth="1"/>
    <col min="14595" max="14595" width="12.5703125" style="52" customWidth="1"/>
    <col min="14596" max="14596" width="12.42578125" style="52" customWidth="1"/>
    <col min="14597" max="14597" width="14.42578125" style="52" customWidth="1"/>
    <col min="14598" max="14598" width="0" style="52" hidden="1" customWidth="1"/>
    <col min="14599" max="14849" width="9.140625" style="52"/>
    <col min="14850" max="14850" width="45.28515625" style="52" customWidth="1"/>
    <col min="14851" max="14851" width="12.5703125" style="52" customWidth="1"/>
    <col min="14852" max="14852" width="12.42578125" style="52" customWidth="1"/>
    <col min="14853" max="14853" width="14.42578125" style="52" customWidth="1"/>
    <col min="14854" max="14854" width="0" style="52" hidden="1" customWidth="1"/>
    <col min="14855" max="15105" width="9.140625" style="52"/>
    <col min="15106" max="15106" width="45.28515625" style="52" customWidth="1"/>
    <col min="15107" max="15107" width="12.5703125" style="52" customWidth="1"/>
    <col min="15108" max="15108" width="12.42578125" style="52" customWidth="1"/>
    <col min="15109" max="15109" width="14.42578125" style="52" customWidth="1"/>
    <col min="15110" max="15110" width="0" style="52" hidden="1" customWidth="1"/>
    <col min="15111" max="15361" width="9.140625" style="52"/>
    <col min="15362" max="15362" width="45.28515625" style="52" customWidth="1"/>
    <col min="15363" max="15363" width="12.5703125" style="52" customWidth="1"/>
    <col min="15364" max="15364" width="12.42578125" style="52" customWidth="1"/>
    <col min="15365" max="15365" width="14.42578125" style="52" customWidth="1"/>
    <col min="15366" max="15366" width="0" style="52" hidden="1" customWidth="1"/>
    <col min="15367" max="15617" width="9.140625" style="52"/>
    <col min="15618" max="15618" width="45.28515625" style="52" customWidth="1"/>
    <col min="15619" max="15619" width="12.5703125" style="52" customWidth="1"/>
    <col min="15620" max="15620" width="12.42578125" style="52" customWidth="1"/>
    <col min="15621" max="15621" width="14.42578125" style="52" customWidth="1"/>
    <col min="15622" max="15622" width="0" style="52" hidden="1" customWidth="1"/>
    <col min="15623" max="15873" width="9.140625" style="52"/>
    <col min="15874" max="15874" width="45.28515625" style="52" customWidth="1"/>
    <col min="15875" max="15875" width="12.5703125" style="52" customWidth="1"/>
    <col min="15876" max="15876" width="12.42578125" style="52" customWidth="1"/>
    <col min="15877" max="15877" width="14.42578125" style="52" customWidth="1"/>
    <col min="15878" max="15878" width="0" style="52" hidden="1" customWidth="1"/>
    <col min="15879" max="16129" width="9.140625" style="52"/>
    <col min="16130" max="16130" width="45.28515625" style="52" customWidth="1"/>
    <col min="16131" max="16131" width="12.5703125" style="52" customWidth="1"/>
    <col min="16132" max="16132" width="12.42578125" style="52" customWidth="1"/>
    <col min="16133" max="16133" width="14.42578125" style="52" customWidth="1"/>
    <col min="16134" max="16134" width="0" style="52" hidden="1" customWidth="1"/>
    <col min="16135" max="16384" width="9.140625" style="52"/>
  </cols>
  <sheetData>
    <row r="1" spans="1:8" ht="9.75" customHeight="1">
      <c r="A1" s="1"/>
      <c r="B1" s="3"/>
      <c r="C1" s="213" t="s">
        <v>417</v>
      </c>
      <c r="D1" s="213"/>
      <c r="E1" s="213"/>
      <c r="F1" s="1"/>
    </row>
    <row r="2" spans="1:8">
      <c r="A2" s="1"/>
      <c r="B2" s="3"/>
      <c r="C2" s="213"/>
      <c r="D2" s="213"/>
      <c r="E2" s="213"/>
      <c r="F2" s="1"/>
    </row>
    <row r="3" spans="1:8">
      <c r="A3" s="1"/>
      <c r="B3" s="3"/>
      <c r="C3" s="213"/>
      <c r="D3" s="213"/>
      <c r="E3" s="213"/>
      <c r="F3" s="1"/>
    </row>
    <row r="4" spans="1:8" ht="39" customHeight="1">
      <c r="A4" s="1"/>
      <c r="B4" s="3"/>
      <c r="C4" s="213"/>
      <c r="D4" s="213"/>
      <c r="E4" s="213"/>
      <c r="F4" s="1"/>
    </row>
    <row r="5" spans="1:8" ht="38.25" customHeight="1">
      <c r="A5" s="214" t="s">
        <v>419</v>
      </c>
      <c r="B5" s="215"/>
      <c r="C5" s="215"/>
      <c r="D5" s="215"/>
      <c r="E5" s="215"/>
      <c r="F5" s="1"/>
      <c r="H5" s="53"/>
    </row>
    <row r="6" spans="1:8" ht="11.25" customHeight="1">
      <c r="A6" s="1"/>
      <c r="B6" s="216" t="s">
        <v>266</v>
      </c>
      <c r="C6" s="216"/>
      <c r="D6" s="216"/>
      <c r="E6" s="216"/>
      <c r="F6" s="1"/>
    </row>
    <row r="7" spans="1:8" ht="12.75" customHeight="1">
      <c r="A7" s="217" t="s">
        <v>151</v>
      </c>
      <c r="B7" s="184" t="s">
        <v>267</v>
      </c>
      <c r="C7" s="184" t="s">
        <v>403</v>
      </c>
      <c r="D7" s="184" t="s">
        <v>268</v>
      </c>
      <c r="E7" s="184" t="s">
        <v>269</v>
      </c>
      <c r="F7" s="1"/>
    </row>
    <row r="8" spans="1:8">
      <c r="A8" s="218"/>
      <c r="B8" s="184"/>
      <c r="C8" s="184"/>
      <c r="D8" s="184"/>
      <c r="E8" s="184"/>
      <c r="F8" s="1"/>
    </row>
    <row r="9" spans="1:8" ht="90.75" customHeight="1">
      <c r="A9" s="219"/>
      <c r="B9" s="184"/>
      <c r="C9" s="184"/>
      <c r="D9" s="184"/>
      <c r="E9" s="184"/>
      <c r="F9" s="1"/>
    </row>
    <row r="10" spans="1:8" ht="25.5">
      <c r="A10" s="54" t="s">
        <v>270</v>
      </c>
      <c r="B10" s="55" t="s">
        <v>271</v>
      </c>
      <c r="C10" s="56">
        <v>11</v>
      </c>
      <c r="D10" s="57">
        <v>7362.37</v>
      </c>
      <c r="E10" s="57">
        <v>7255.9206199999999</v>
      </c>
      <c r="F10" s="1"/>
    </row>
    <row r="11" spans="1:8" ht="13.5" customHeight="1">
      <c r="A11" s="2"/>
      <c r="B11" s="58"/>
      <c r="C11" s="59"/>
      <c r="D11" s="60"/>
      <c r="E11" s="60"/>
      <c r="F11" s="1"/>
    </row>
    <row r="12" spans="1:8" ht="49.5" customHeight="1">
      <c r="A12" s="210" t="s">
        <v>272</v>
      </c>
      <c r="B12" s="211"/>
      <c r="C12" s="211"/>
      <c r="D12" s="211"/>
      <c r="E12" s="211"/>
      <c r="F12" s="212"/>
    </row>
    <row r="13" spans="1:8" ht="76.5">
      <c r="A13" s="61" t="s">
        <v>273</v>
      </c>
      <c r="B13" s="62" t="s">
        <v>267</v>
      </c>
      <c r="C13" s="63" t="s">
        <v>404</v>
      </c>
      <c r="D13" s="63" t="s">
        <v>274</v>
      </c>
      <c r="E13" s="63" t="s">
        <v>405</v>
      </c>
      <c r="F13" s="63" t="s">
        <v>406</v>
      </c>
    </row>
    <row r="14" spans="1:8" ht="42.75" customHeight="1">
      <c r="A14" s="54" t="s">
        <v>275</v>
      </c>
      <c r="B14" s="55" t="s">
        <v>276</v>
      </c>
      <c r="C14" s="64">
        <f>SUM(C15:C16)</f>
        <v>28</v>
      </c>
      <c r="D14" s="64">
        <f>SUM(D15:D16)</f>
        <v>6105.9</v>
      </c>
      <c r="E14" s="64">
        <f>SUM(E15:E16)</f>
        <v>6105.9</v>
      </c>
      <c r="F14" s="64">
        <f>SUM(F15:F16)</f>
        <v>6105.9</v>
      </c>
    </row>
    <row r="15" spans="1:8" ht="18.75" customHeight="1">
      <c r="A15" s="65" t="s">
        <v>277</v>
      </c>
      <c r="B15" s="156" t="s">
        <v>278</v>
      </c>
      <c r="C15" s="67">
        <v>20</v>
      </c>
      <c r="D15" s="57">
        <v>5315.9</v>
      </c>
      <c r="E15" s="57">
        <v>5315.9</v>
      </c>
      <c r="F15" s="57">
        <v>5315.9</v>
      </c>
    </row>
    <row r="16" spans="1:8" ht="51">
      <c r="A16" s="65" t="s">
        <v>279</v>
      </c>
      <c r="B16" s="66" t="s">
        <v>280</v>
      </c>
      <c r="C16" s="67">
        <v>8</v>
      </c>
      <c r="D16" s="57">
        <v>790</v>
      </c>
      <c r="E16" s="57">
        <v>790</v>
      </c>
      <c r="F16" s="57">
        <v>790</v>
      </c>
    </row>
  </sheetData>
  <mergeCells count="9">
    <mergeCell ref="A12:F12"/>
    <mergeCell ref="C1:E4"/>
    <mergeCell ref="A5:E5"/>
    <mergeCell ref="B6:E6"/>
    <mergeCell ref="A7:A9"/>
    <mergeCell ref="B7:B9"/>
    <mergeCell ref="C7:C9"/>
    <mergeCell ref="D7:D9"/>
    <mergeCell ref="E7:E9"/>
  </mergeCells>
  <pageMargins left="0.31496062992125984" right="0.31496062992125984" top="0.94488188976377963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90" zoomScaleNormal="100" zoomScaleSheetLayoutView="90" workbookViewId="0">
      <selection activeCell="B10" sqref="B10"/>
    </sheetView>
  </sheetViews>
  <sheetFormatPr defaultRowHeight="15"/>
  <cols>
    <col min="1" max="1" width="20.85546875" customWidth="1"/>
    <col min="2" max="2" width="28.28515625" customWidth="1"/>
    <col min="3" max="3" width="15.42578125" customWidth="1"/>
  </cols>
  <sheetData>
    <row r="1" spans="1:7" ht="63.75" customHeight="1">
      <c r="B1" s="221" t="s">
        <v>418</v>
      </c>
      <c r="C1" s="221"/>
      <c r="E1" s="77"/>
    </row>
    <row r="3" spans="1:7" ht="15.75">
      <c r="B3" s="69" t="s">
        <v>281</v>
      </c>
    </row>
    <row r="5" spans="1:7" ht="15.75" customHeight="1">
      <c r="A5" s="220" t="s">
        <v>282</v>
      </c>
      <c r="B5" s="220"/>
      <c r="C5" s="220"/>
      <c r="D5" s="78"/>
      <c r="E5" s="78"/>
      <c r="F5" s="78"/>
      <c r="G5" s="78"/>
    </row>
    <row r="6" spans="1:7" ht="15.75" customHeight="1">
      <c r="A6" s="220"/>
      <c r="B6" s="220"/>
      <c r="C6" s="220"/>
      <c r="D6" s="78"/>
      <c r="E6" s="78"/>
      <c r="F6" s="78"/>
      <c r="G6" s="78"/>
    </row>
    <row r="7" spans="1:7" ht="19.5" customHeight="1">
      <c r="A7" s="220"/>
      <c r="B7" s="220"/>
      <c r="C7" s="220"/>
      <c r="D7" s="78"/>
      <c r="E7" s="78"/>
      <c r="F7" s="78"/>
      <c r="G7" s="78"/>
    </row>
    <row r="8" spans="1:7" ht="15.75">
      <c r="B8" s="70" t="s">
        <v>408</v>
      </c>
    </row>
    <row r="10" spans="1:7" ht="47.25">
      <c r="A10" s="74" t="s">
        <v>284</v>
      </c>
      <c r="B10" s="74" t="s">
        <v>283</v>
      </c>
      <c r="C10" s="74" t="s">
        <v>285</v>
      </c>
    </row>
    <row r="11" spans="1:7" ht="15.75">
      <c r="A11" s="72"/>
      <c r="B11" s="72"/>
      <c r="C11" s="71"/>
    </row>
    <row r="12" spans="1:7" ht="15.75">
      <c r="A12" s="72"/>
      <c r="B12" s="73" t="s">
        <v>93</v>
      </c>
      <c r="C12" s="72"/>
    </row>
    <row r="13" spans="1:7" ht="15.75">
      <c r="A13" s="72"/>
      <c r="B13" s="71" t="s">
        <v>407</v>
      </c>
      <c r="C13" s="76">
        <v>0</v>
      </c>
    </row>
    <row r="15" spans="1:7" ht="30" customHeight="1">
      <c r="A15" s="222" t="s">
        <v>409</v>
      </c>
      <c r="B15" s="222"/>
      <c r="C15" s="222"/>
      <c r="D15" s="79"/>
      <c r="E15" s="79"/>
      <c r="F15" s="79"/>
      <c r="G15" s="79"/>
    </row>
    <row r="16" spans="1:7">
      <c r="A16" s="79"/>
      <c r="B16" s="79"/>
      <c r="C16" s="79"/>
      <c r="D16" s="79"/>
      <c r="E16" s="79"/>
      <c r="F16" s="79"/>
      <c r="G16" s="79"/>
    </row>
  </sheetData>
  <mergeCells count="3">
    <mergeCell ref="A5:C7"/>
    <mergeCell ref="B1:C1"/>
    <mergeCell ref="A15:C15"/>
  </mergeCells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9" sqref="J3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прил.1ИСТОЧ.ФИН.ДЕФИЦ.БТ</vt:lpstr>
      <vt:lpstr>прил.2 ДОХОДЫ</vt:lpstr>
      <vt:lpstr>прил.4.РАСХ.ИСПОЛН.</vt:lpstr>
      <vt:lpstr>прил.6. МЦП</vt:lpstr>
      <vt:lpstr>прил.7 числ.факт расх.</vt:lpstr>
      <vt:lpstr>прил.8 ОТЧЕТ ПО ИСП.РЕЗЕРВ.ФОНД</vt:lpstr>
      <vt:lpstr>Лист1</vt:lpstr>
      <vt:lpstr>'прил.2 ДОХОДЫ'!Область_печати</vt:lpstr>
      <vt:lpstr>прил.4.РАСХ.ИСПОЛН.!Область_печати</vt:lpstr>
      <vt:lpstr>'прил.6. МЦП'!Область_печати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2016-05-26T08:38:05Z</dcterms:modified>
</cp:coreProperties>
</file>