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3"/>
  </bookViews>
  <sheets>
    <sheet name="1 квартал 2018 года" sheetId="1" r:id="rId1"/>
    <sheet name="2кв. 1полуг.2018" sheetId="2" r:id="rId2"/>
    <sheet name="9 месяцев2018г" sheetId="3" r:id="rId3"/>
    <sheet name="год 2018" sheetId="4" r:id="rId4"/>
  </sheets>
  <definedNames>
    <definedName name="_xlnm.Print_Area" localSheetId="1">'2кв. 1полуг.2018'!$A$1:$J$109</definedName>
    <definedName name="_xlnm.Print_Area" localSheetId="2">'9 месяцев2018г'!$A$1:$J$112</definedName>
    <definedName name="_xlnm.Print_Area" localSheetId="3">'год 2018'!$A$1:$J$107</definedName>
  </definedNames>
  <calcPr fullCalcOnLoad="1"/>
</workbook>
</file>

<file path=xl/sharedStrings.xml><?xml version="1.0" encoding="utf-8"?>
<sst xmlns="http://schemas.openxmlformats.org/spreadsheetml/2006/main" count="531" uniqueCount="127">
  <si>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</si>
  <si>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</si>
  <si>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</si>
  <si>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</si>
  <si>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</si>
  <si>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</si>
  <si>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</si>
  <si>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</si>
  <si>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</si>
  <si>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</si>
  <si>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</si>
  <si>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</si>
  <si>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</si>
  <si>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</si>
  <si>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</si>
  <si>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</si>
  <si>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</si>
  <si>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</si>
  <si>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</si>
  <si>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</si>
  <si>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</si>
  <si>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</si>
  <si>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</si>
  <si>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</si>
  <si>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</si>
  <si>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</si>
  <si>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</si>
  <si>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</si>
  <si>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</si>
  <si>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</si>
  <si>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</si>
  <si>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</si>
  <si>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</si>
  <si>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</si>
  <si>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</si>
  <si>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</si>
  <si>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</si>
  <si>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</si>
  <si>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</si>
  <si>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</si>
  <si>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</si>
  <si>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</si>
  <si>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</si>
  <si>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</si>
  <si>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</si>
  <si>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</si>
  <si>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 xml:space="preserve">Комплексные меры по профилактике безнадзорности и правонарушений несовершеннолетних граждан 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</si>
  <si>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</si>
  <si>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</si>
  <si>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</si>
  <si>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</si>
  <si>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</si>
  <si>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</si>
  <si>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</si>
  <si>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</si>
  <si>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</si>
  <si>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</si>
  <si>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</si>
  <si>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Н.П.Новохатько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</si>
  <si>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</si>
  <si>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</si>
  <si>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</si>
  <si>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</si>
  <si>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Развитие общественной инфраструктуры (Депутатские ГМР)</t>
  </si>
  <si>
    <t>Софинансирование капитального ремонта объектов государственной (муниципальной) собственности (Здание МБУК)</t>
  </si>
  <si>
    <t>Капитальный ремонт объектов государственной (муниципальной) собственности. Здание МБУК</t>
  </si>
  <si>
    <t>Проведение культурно-массовых мероприятий к праздничным и памятным датам МО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</si>
  <si>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</si>
  <si>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</si>
  <si>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</si>
  <si>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>Капитальный ремонт и ремонт автомобильных дорог общего пользования местного значения</t>
  </si>
  <si>
    <t xml:space="preserve">Оперативный отчет о ходе реализации муниципальной программы за 1 квартал 2018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</si>
  <si>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ред. от 27.12.2017г. №270)</t>
  </si>
  <si>
    <t>За 1 квартал 2018 года</t>
  </si>
  <si>
    <t>09 апреля 2018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</si>
  <si>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</si>
  <si>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>Запланированный объем финансирования 2018  год (тыс. руб.)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</si>
  <si>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</si>
  <si>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</si>
  <si>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</si>
  <si>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</si>
  <si>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</si>
  <si>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 xml:space="preserve"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</si>
  <si>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. (Средства областного бюджета)</t>
  </si>
  <si>
    <t>Субсидии на комплекс мероприятий по борьбе с борщевиком Сосновского. Площадь обработки -33 Га.</t>
  </si>
  <si>
    <t xml:space="preserve"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</t>
  </si>
  <si>
    <t>Софинансирование из местного бюджета на комплекс мероприятий по борьбе с борщевиком Сосновского. Площадь обработки -33 Га.</t>
  </si>
  <si>
    <r>
      <t xml:space="preserve"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</t>
    </r>
    <r>
      <rPr>
        <sz val="12"/>
        <rFont val="Times New Roman"/>
        <family val="1"/>
      </rPr>
      <t>(5 этап работ) (Средства областного бюджета)</t>
    </r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</si>
  <si>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</si>
  <si>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</si>
  <si>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</si>
  <si>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</si>
  <si>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</si>
  <si>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</si>
  <si>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</si>
  <si>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июля 2018 года</t>
  </si>
  <si>
    <t>За 2 квартал 2018 года</t>
  </si>
  <si>
    <t xml:space="preserve">Оперативный отчет о ходе реализации муниципальной программы за 2 квартал, 1 полугодие 2018 года </t>
  </si>
  <si>
    <t>Семенова Т.А.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</si>
  <si>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областного бюджета)</t>
  </si>
  <si>
    <t>Субсидии бюджетам поселений на реализацию областного закона от 15.01.18 №3-оз "О содействии участию населения в осуществлении МСУ в иных формах на территориях административных центров МО Лен.обл"</t>
  </si>
  <si>
    <t>Содержание муниципального жилищного фонда,в тч. Капитальный ремонт муниципального жилищного фонда</t>
  </si>
  <si>
    <t>Софинансирование мероприятий по  реализации областного закона от 15.01.18 №3-оз "О содействии участию населения в осуществлении МСУ в иных формах на территориях административных центров МО Лен.обл"</t>
  </si>
  <si>
    <t xml:space="preserve">Софинансирование мероприятий по капитальному ремонту и ремонту асфальтобетонного покрытия автомобильной дороги общего пользования местного значения (д. Тяглино, ул.Центральная, участок от д. 90 (5 этап работ) </t>
  </si>
  <si>
    <t xml:space="preserve">Средства бюджета Ленинградской области </t>
  </si>
  <si>
    <t>Средства бюджета Ленинградской области , (грантовая поддержка)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</si>
  <si>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(обустройство дет.спорт. площадки в п. Н.Учхоз)</t>
  </si>
  <si>
    <t>Строительство и реконструкция спорт.сооружений в рамках подпрограммы</t>
  </si>
  <si>
    <t xml:space="preserve"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</si>
  <si>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   ( в ред. от 27.12.2017г. №270, от 29.05.18 №93 )</t>
  </si>
  <si>
    <t>12 октября 2018 года</t>
  </si>
  <si>
    <t xml:space="preserve">Оперативный отчет о ходе реализации муниципальной программы за 9 месяцев 2018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</si>
  <si>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   ( в ред. от 27.12.2017г. №270, от 29.05.18 №93, от16.07.2018 № 131 )</t>
  </si>
  <si>
    <t>За 3 квартал 2018 года</t>
  </si>
  <si>
    <t>Капитальный ремонт и ремонт асфальтобетонного покрытия автомобильной дороги общего пользования местного значения (Развитие обществ.инфрастр-ры, Деп.ЗАКС)-ремонт проездов к двор.тер-ям в Б.Лесу</t>
  </si>
  <si>
    <t>МБ осуществление кап.вложений в объекты мун.собств-ти, (приобретение щебня)</t>
  </si>
  <si>
    <t>МБ Развитие обществ.инфр-ры (Депутаты ГМР)- ремонт центр.площади в п.Войсковицы</t>
  </si>
  <si>
    <t>МБ на внесение границ нас.пунктов поселений в ЕГРН</t>
  </si>
  <si>
    <t>14 января 2019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</si>
  <si>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   ( в ред. от 27.12.2017г. №270, от 29.05.18 №93, от16.07.2018 № 131, от 11.12.2018№216 )</t>
  </si>
  <si>
    <t>За 4 квартал 2018 года</t>
  </si>
  <si>
    <t>Проведение культурно-массовых мероприятий к праздничным и памятным датам (МБУК)</t>
  </si>
  <si>
    <t>Реализация комплекса мер по прфилактике девиантного поведения молодежи и трудовой адаптации несовершеннолетних: Организация временных оплачиваемых рабочих мест для несовершеннолетних граждан</t>
  </si>
  <si>
    <t>Строительство и реконструкция спорт.сооружений в рамках подпрограммы (КВР 244)</t>
  </si>
  <si>
    <t>Строительство и реконструкция спорт.сооружений в рамках подпрограммы (КВР 414)</t>
  </si>
  <si>
    <t>Капитальный ремонтобъектов культуры в рамках подпрограммы (субсидии на иные цели)</t>
  </si>
  <si>
    <t xml:space="preserve">Оперативный годовой отчет о ходе реализации муниципальной программы за  2018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</si>
</sst>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68" fontId="1" fillId="32" borderId="10" xfId="0" applyNumberFormat="1" applyFont="1" applyFill="1" applyBorder="1" applyAlignment="1">
      <alignment horizontal="center" vertical="center" readingOrder="2"/>
    </xf>
    <xf numFmtId="168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10" xfId="53" applyFont="1" applyFill="1" applyBorder="1" applyAlignment="1">
      <alignment vertical="center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top" wrapText="1"/>
    </xf>
    <xf numFmtId="170" fontId="4" fillId="32" borderId="10" xfId="0" applyNumberFormat="1" applyFont="1" applyFill="1" applyBorder="1" applyAlignment="1">
      <alignment horizontal="center" vertical="top" wrapText="1"/>
    </xf>
    <xf numFmtId="43" fontId="5" fillId="32" borderId="0" xfId="0" applyNumberFormat="1" applyFont="1" applyFill="1" applyAlignment="1">
      <alignment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43" fontId="4" fillId="32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172" fontId="1" fillId="32" borderId="10" xfId="0" applyNumberFormat="1" applyFont="1" applyFill="1" applyBorder="1" applyAlignment="1">
      <alignment horizontal="center" vertical="center" readingOrder="2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horizontal="center" vertical="center" wrapText="1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32" borderId="13" xfId="0" applyNumberFormat="1" applyFont="1" applyFill="1" applyBorder="1" applyAlignment="1">
      <alignment horizontal="center" vertical="center" wrapText="1"/>
    </xf>
    <xf numFmtId="168" fontId="2" fillId="32" borderId="13" xfId="0" applyNumberFormat="1" applyFont="1" applyFill="1" applyBorder="1" applyAlignment="1">
      <alignment horizontal="center" vertical="center" readingOrder="2"/>
    </xf>
    <xf numFmtId="43" fontId="2" fillId="32" borderId="13" xfId="0" applyNumberFormat="1" applyFont="1" applyFill="1" applyBorder="1" applyAlignment="1">
      <alignment horizontal="center" vertical="center" readingOrder="2"/>
    </xf>
    <xf numFmtId="0" fontId="4" fillId="32" borderId="13" xfId="53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top" wrapText="1"/>
    </xf>
    <xf numFmtId="43" fontId="1" fillId="33" borderId="11" xfId="0" applyNumberFormat="1" applyFont="1" applyFill="1" applyBorder="1" applyAlignment="1">
      <alignment horizontal="center" vertical="center" wrapText="1"/>
    </xf>
    <xf numFmtId="168" fontId="1" fillId="33" borderId="11" xfId="0" applyNumberFormat="1" applyFont="1" applyFill="1" applyBorder="1" applyAlignment="1">
      <alignment horizontal="center" vertical="center" readingOrder="2"/>
    </xf>
    <xf numFmtId="0" fontId="4" fillId="33" borderId="11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9" fillId="32" borderId="13" xfId="53" applyFont="1" applyFill="1" applyBorder="1" applyAlignment="1">
      <alignment horizontal="center" vertical="center" wrapText="1"/>
      <protection/>
    </xf>
    <xf numFmtId="0" fontId="9" fillId="32" borderId="12" xfId="53" applyFont="1" applyFill="1" applyBorder="1" applyAlignment="1">
      <alignment horizontal="center" vertical="center" wrapText="1"/>
      <protection/>
    </xf>
    <xf numFmtId="0" fontId="9" fillId="32" borderId="11" xfId="53" applyFont="1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top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60" zoomScaleNormal="60" zoomScalePageLayoutView="0" workbookViewId="0" topLeftCell="A88">
      <selection activeCell="A1" sqref="A1:IV16384"/>
    </sheetView>
  </sheetViews>
  <sheetFormatPr defaultColWidth="9.00390625" defaultRowHeight="12.75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74</v>
      </c>
    </row>
    <row r="4" spans="3:10" ht="12.75">
      <c r="C4" s="100" t="s">
        <v>53</v>
      </c>
      <c r="D4" s="100"/>
      <c r="E4" s="100"/>
      <c r="F4" s="100"/>
      <c r="G4" s="100"/>
      <c r="H4" s="100"/>
      <c r="I4" s="100"/>
      <c r="J4" s="100"/>
    </row>
    <row r="5" spans="3:10" ht="27.75" customHeight="1">
      <c r="C5" s="101" t="s">
        <v>48</v>
      </c>
      <c r="D5" s="101"/>
      <c r="E5" s="101"/>
      <c r="F5" s="101"/>
      <c r="G5" s="101"/>
      <c r="H5" s="101"/>
      <c r="I5" s="101"/>
      <c r="J5" s="101"/>
    </row>
    <row r="6" spans="1:10" ht="15.75">
      <c r="A6" s="102" t="s">
        <v>71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36.75" customHeight="1">
      <c r="A7" s="103" t="s">
        <v>72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2.75">
      <c r="A8" s="104" t="s">
        <v>31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86" t="s">
        <v>32</v>
      </c>
      <c r="B11" s="92" t="s">
        <v>16</v>
      </c>
      <c r="C11" s="99" t="s">
        <v>33</v>
      </c>
      <c r="D11" s="95" t="s">
        <v>73</v>
      </c>
      <c r="E11" s="96"/>
      <c r="F11" s="97"/>
      <c r="G11" s="98" t="s">
        <v>68</v>
      </c>
      <c r="H11" s="98"/>
      <c r="I11" s="98"/>
      <c r="J11" s="98"/>
    </row>
    <row r="12" spans="1:10" ht="78.75">
      <c r="A12" s="86"/>
      <c r="B12" s="105"/>
      <c r="C12" s="99"/>
      <c r="D12" s="14" t="s">
        <v>76</v>
      </c>
      <c r="E12" s="15" t="s">
        <v>35</v>
      </c>
      <c r="F12" s="14" t="s">
        <v>34</v>
      </c>
      <c r="G12" s="14" t="s">
        <v>76</v>
      </c>
      <c r="H12" s="15" t="s">
        <v>35</v>
      </c>
      <c r="I12" s="14" t="s">
        <v>34</v>
      </c>
      <c r="J12" s="14" t="s">
        <v>54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15.75">
      <c r="A14" s="86" t="s">
        <v>75</v>
      </c>
      <c r="B14" s="86" t="s">
        <v>17</v>
      </c>
      <c r="C14" s="17" t="s">
        <v>36</v>
      </c>
      <c r="D14" s="8">
        <f>SUM(D15:D19)</f>
        <v>930</v>
      </c>
      <c r="E14" s="8">
        <f>SUM(E15:E19)</f>
        <v>86.089</v>
      </c>
      <c r="F14" s="18">
        <f>E14/D14</f>
        <v>0.09256881720430107</v>
      </c>
      <c r="G14" s="8">
        <f>SUM(G15:G19)</f>
        <v>930</v>
      </c>
      <c r="H14" s="8">
        <f>SUM(H15:H19)</f>
        <v>86.089</v>
      </c>
      <c r="I14" s="19">
        <f>I15+I16+I17+I19</f>
        <v>0.09256881720430107</v>
      </c>
      <c r="J14" s="20"/>
    </row>
    <row r="15" spans="1:10" ht="47.25">
      <c r="A15" s="86"/>
      <c r="B15" s="86"/>
      <c r="C15" s="14" t="s">
        <v>37</v>
      </c>
      <c r="D15" s="5"/>
      <c r="E15" s="5"/>
      <c r="F15" s="21"/>
      <c r="G15" s="5"/>
      <c r="H15" s="5"/>
      <c r="I15" s="22"/>
      <c r="J15" s="20"/>
    </row>
    <row r="16" spans="1:10" ht="47.25">
      <c r="A16" s="86"/>
      <c r="B16" s="86"/>
      <c r="C16" s="14" t="s">
        <v>38</v>
      </c>
      <c r="D16" s="5"/>
      <c r="E16" s="5"/>
      <c r="F16" s="21"/>
      <c r="G16" s="5"/>
      <c r="H16" s="5"/>
      <c r="I16" s="22"/>
      <c r="J16" s="20"/>
    </row>
    <row r="17" spans="1:10" ht="31.5">
      <c r="A17" s="86"/>
      <c r="B17" s="86"/>
      <c r="C17" s="14" t="s">
        <v>39</v>
      </c>
      <c r="D17" s="5"/>
      <c r="E17" s="5"/>
      <c r="F17" s="21"/>
      <c r="G17" s="5"/>
      <c r="H17" s="5"/>
      <c r="I17" s="22"/>
      <c r="J17" s="20"/>
    </row>
    <row r="18" spans="1:10" ht="31.5">
      <c r="A18" s="86"/>
      <c r="B18" s="86"/>
      <c r="C18" s="14" t="s">
        <v>45</v>
      </c>
      <c r="D18" s="5"/>
      <c r="E18" s="5"/>
      <c r="F18" s="21"/>
      <c r="G18" s="5"/>
      <c r="H18" s="5"/>
      <c r="I18" s="22"/>
      <c r="J18" s="20"/>
    </row>
    <row r="19" spans="1:10" ht="94.5">
      <c r="A19" s="86"/>
      <c r="B19" s="86"/>
      <c r="C19" s="99" t="s">
        <v>40</v>
      </c>
      <c r="D19" s="8">
        <f>SUM(D20:D24)</f>
        <v>930</v>
      </c>
      <c r="E19" s="8">
        <f>SUM(E20:E24)</f>
        <v>86.089</v>
      </c>
      <c r="F19" s="18">
        <f aca="true" t="shared" si="0" ref="F19:F25">E19/D19</f>
        <v>0.09256881720430107</v>
      </c>
      <c r="G19" s="8">
        <f>SUM(G20:G24)</f>
        <v>930</v>
      </c>
      <c r="H19" s="8">
        <f>SUM(H20:H24)</f>
        <v>86.089</v>
      </c>
      <c r="I19" s="18">
        <f aca="true" t="shared" si="1" ref="I19:I25">H19/G19</f>
        <v>0.09256881720430107</v>
      </c>
      <c r="J19" s="23" t="s">
        <v>25</v>
      </c>
    </row>
    <row r="20" spans="1:10" ht="31.5">
      <c r="A20" s="86"/>
      <c r="B20" s="86"/>
      <c r="C20" s="99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21" t="s">
        <v>60</v>
      </c>
    </row>
    <row r="21" spans="1:10" ht="31.5">
      <c r="A21" s="86"/>
      <c r="B21" s="86"/>
      <c r="C21" s="99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21" t="s">
        <v>61</v>
      </c>
    </row>
    <row r="22" spans="1:10" ht="31.5">
      <c r="A22" s="86"/>
      <c r="B22" s="86"/>
      <c r="C22" s="99"/>
      <c r="D22" s="5">
        <v>300</v>
      </c>
      <c r="E22" s="5">
        <v>63.089</v>
      </c>
      <c r="F22" s="22">
        <f t="shared" si="0"/>
        <v>0.21029666666666666</v>
      </c>
      <c r="G22" s="6">
        <f t="shared" si="2"/>
        <v>300</v>
      </c>
      <c r="H22" s="6">
        <f t="shared" si="2"/>
        <v>63.089</v>
      </c>
      <c r="I22" s="22">
        <f t="shared" si="1"/>
        <v>0.21029666666666666</v>
      </c>
      <c r="J22" s="2" t="s">
        <v>0</v>
      </c>
    </row>
    <row r="23" spans="1:10" ht="31.5">
      <c r="A23" s="86"/>
      <c r="B23" s="86"/>
      <c r="C23" s="99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2" t="s">
        <v>77</v>
      </c>
    </row>
    <row r="24" spans="1:10" ht="31.5">
      <c r="A24" s="86"/>
      <c r="B24" s="86"/>
      <c r="C24" s="99"/>
      <c r="D24" s="5">
        <v>250</v>
      </c>
      <c r="E24" s="5">
        <v>23</v>
      </c>
      <c r="F24" s="22">
        <f t="shared" si="0"/>
        <v>0.092</v>
      </c>
      <c r="G24" s="6">
        <f t="shared" si="2"/>
        <v>250</v>
      </c>
      <c r="H24" s="6">
        <f t="shared" si="2"/>
        <v>23</v>
      </c>
      <c r="I24" s="22">
        <f t="shared" si="1"/>
        <v>0.092</v>
      </c>
      <c r="J24" s="2" t="s">
        <v>1</v>
      </c>
    </row>
    <row r="25" spans="1:10" ht="16.5" customHeight="1">
      <c r="A25" s="86" t="s">
        <v>78</v>
      </c>
      <c r="B25" s="86" t="s">
        <v>18</v>
      </c>
      <c r="C25" s="17" t="s">
        <v>36</v>
      </c>
      <c r="D25" s="8">
        <f>SUM(D26:D30)</f>
        <v>160</v>
      </c>
      <c r="E25" s="8">
        <f>SUM(E26:E30)</f>
        <v>0</v>
      </c>
      <c r="F25" s="18">
        <f t="shared" si="0"/>
        <v>0</v>
      </c>
      <c r="G25" s="8">
        <f>SUM(G26:G30)</f>
        <v>160</v>
      </c>
      <c r="H25" s="8">
        <f>SUM(H26:H30)</f>
        <v>0</v>
      </c>
      <c r="I25" s="18">
        <f t="shared" si="1"/>
        <v>0</v>
      </c>
      <c r="J25" s="20"/>
    </row>
    <row r="26" spans="1:10" ht="51.75" customHeight="1">
      <c r="A26" s="86"/>
      <c r="B26" s="86"/>
      <c r="C26" s="14" t="s">
        <v>37</v>
      </c>
      <c r="D26" s="5"/>
      <c r="E26" s="5"/>
      <c r="F26" s="21"/>
      <c r="G26" s="7"/>
      <c r="H26" s="7"/>
      <c r="I26" s="18"/>
      <c r="J26" s="24"/>
    </row>
    <row r="27" spans="1:10" ht="47.25">
      <c r="A27" s="86"/>
      <c r="B27" s="86"/>
      <c r="C27" s="25" t="s">
        <v>62</v>
      </c>
      <c r="D27" s="5"/>
      <c r="E27" s="5"/>
      <c r="F27" s="26"/>
      <c r="G27" s="6"/>
      <c r="H27" s="6"/>
      <c r="I27" s="22"/>
      <c r="J27" s="2"/>
    </row>
    <row r="28" spans="1:10" ht="31.5">
      <c r="A28" s="86"/>
      <c r="B28" s="86"/>
      <c r="C28" s="14" t="s">
        <v>39</v>
      </c>
      <c r="D28" s="5"/>
      <c r="E28" s="5"/>
      <c r="F28" s="21"/>
      <c r="G28" s="5"/>
      <c r="H28" s="5"/>
      <c r="I28" s="27"/>
      <c r="J28" s="20"/>
    </row>
    <row r="29" spans="1:10" ht="31.5">
      <c r="A29" s="86"/>
      <c r="B29" s="86"/>
      <c r="C29" s="14" t="s">
        <v>45</v>
      </c>
      <c r="D29" s="5"/>
      <c r="E29" s="5"/>
      <c r="F29" s="21"/>
      <c r="G29" s="5"/>
      <c r="H29" s="5"/>
      <c r="I29" s="27"/>
      <c r="J29" s="20"/>
    </row>
    <row r="30" spans="1:10" ht="76.5">
      <c r="A30" s="86"/>
      <c r="B30" s="86"/>
      <c r="C30" s="86" t="s">
        <v>40</v>
      </c>
      <c r="D30" s="8">
        <f>SUM(D31:D34)</f>
        <v>160</v>
      </c>
      <c r="E30" s="8">
        <f>SUM(E31:E34)</f>
        <v>0</v>
      </c>
      <c r="F30" s="18">
        <f aca="true" t="shared" si="3" ref="F30:F60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1">H30/G30</f>
        <v>0</v>
      </c>
      <c r="J30" s="28" t="s">
        <v>44</v>
      </c>
    </row>
    <row r="31" spans="1:10" ht="31.5">
      <c r="A31" s="86"/>
      <c r="B31" s="86"/>
      <c r="C31" s="86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2" t="s">
        <v>2</v>
      </c>
    </row>
    <row r="32" spans="1:10" ht="63">
      <c r="A32" s="86"/>
      <c r="B32" s="86"/>
      <c r="C32" s="86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2" t="s">
        <v>3</v>
      </c>
    </row>
    <row r="33" spans="1:10" ht="31.5">
      <c r="A33" s="86"/>
      <c r="B33" s="86"/>
      <c r="C33" s="86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2" t="s">
        <v>4</v>
      </c>
    </row>
    <row r="34" spans="1:10" ht="15.75">
      <c r="A34" s="86"/>
      <c r="B34" s="86"/>
      <c r="C34" s="86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2" t="s">
        <v>5</v>
      </c>
    </row>
    <row r="35" spans="1:10" ht="21.75" customHeight="1">
      <c r="A35" s="86" t="s">
        <v>79</v>
      </c>
      <c r="B35" s="86" t="s">
        <v>19</v>
      </c>
      <c r="C35" s="17" t="s">
        <v>36</v>
      </c>
      <c r="D35" s="7">
        <f>D36+D38+D42+D43+D44+D45</f>
        <v>9912.7</v>
      </c>
      <c r="E35" s="7">
        <f>E36+E38+E42+E43+E44+E45</f>
        <v>941.32309</v>
      </c>
      <c r="F35" s="18">
        <f t="shared" si="3"/>
        <v>0.09496132133525678</v>
      </c>
      <c r="G35" s="7">
        <f>G36+G38+G42+G43+G44+G45</f>
        <v>9912.7</v>
      </c>
      <c r="H35" s="7">
        <f>H36+H38+H42+H43+H44+H45</f>
        <v>941.32309</v>
      </c>
      <c r="I35" s="18">
        <f t="shared" si="4"/>
        <v>0.09496132133525678</v>
      </c>
      <c r="J35" s="20"/>
    </row>
    <row r="36" spans="1:10" ht="24.75" customHeight="1" hidden="1">
      <c r="A36" s="86"/>
      <c r="B36" s="86"/>
      <c r="C36" s="90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20"/>
    </row>
    <row r="37" spans="1:10" ht="15.75" hidden="1">
      <c r="A37" s="86"/>
      <c r="B37" s="86"/>
      <c r="C37" s="91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24"/>
    </row>
    <row r="38" spans="1:10" ht="24.75" customHeight="1">
      <c r="A38" s="86"/>
      <c r="B38" s="86"/>
      <c r="C38" s="92" t="s">
        <v>38</v>
      </c>
      <c r="D38" s="7">
        <f>SUM(D39:D41)</f>
        <v>1156.7</v>
      </c>
      <c r="E38" s="7">
        <f>SUM(E39:E41)</f>
        <v>0</v>
      </c>
      <c r="F38" s="18">
        <f t="shared" si="3"/>
        <v>0</v>
      </c>
      <c r="G38" s="7">
        <f>SUM(G39:G41)</f>
        <v>1156.7</v>
      </c>
      <c r="H38" s="7">
        <f>SUM(H39:H41)</f>
        <v>0</v>
      </c>
      <c r="I38" s="18">
        <f t="shared" si="4"/>
        <v>0</v>
      </c>
      <c r="J38" s="20"/>
    </row>
    <row r="39" spans="1:10" ht="105" customHeight="1">
      <c r="A39" s="86"/>
      <c r="B39" s="86"/>
      <c r="C39" s="93"/>
      <c r="D39" s="5">
        <v>484.9</v>
      </c>
      <c r="E39" s="5">
        <v>0</v>
      </c>
      <c r="F39" s="22">
        <f t="shared" si="3"/>
        <v>0</v>
      </c>
      <c r="G39" s="6">
        <f aca="true" t="shared" si="6" ref="G39:H44">D39</f>
        <v>484.9</v>
      </c>
      <c r="H39" s="6">
        <f t="shared" si="6"/>
        <v>0</v>
      </c>
      <c r="I39" s="22">
        <f t="shared" si="4"/>
        <v>0</v>
      </c>
      <c r="J39" s="3" t="s">
        <v>87</v>
      </c>
    </row>
    <row r="40" spans="1:10" ht="173.25">
      <c r="A40" s="86"/>
      <c r="B40" s="86"/>
      <c r="C40" s="93"/>
      <c r="D40" s="5">
        <v>321.8</v>
      </c>
      <c r="E40" s="5">
        <v>0</v>
      </c>
      <c r="F40" s="22">
        <f t="shared" si="3"/>
        <v>0</v>
      </c>
      <c r="G40" s="6">
        <f t="shared" si="6"/>
        <v>321.8</v>
      </c>
      <c r="H40" s="6">
        <f t="shared" si="6"/>
        <v>0</v>
      </c>
      <c r="I40" s="22">
        <f t="shared" si="4"/>
        <v>0</v>
      </c>
      <c r="J40" s="3" t="s">
        <v>83</v>
      </c>
    </row>
    <row r="41" spans="1:10" ht="57" customHeight="1">
      <c r="A41" s="86"/>
      <c r="B41" s="86"/>
      <c r="C41" s="93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2" t="s">
        <v>84</v>
      </c>
    </row>
    <row r="42" spans="1:10" ht="108.75" customHeight="1" hidden="1">
      <c r="A42" s="86"/>
      <c r="B42" s="86"/>
      <c r="C42" s="14" t="s">
        <v>39</v>
      </c>
      <c r="D42" s="5">
        <v>0</v>
      </c>
      <c r="E42" s="5">
        <v>0</v>
      </c>
      <c r="F42" s="22" t="e">
        <f t="shared" si="3"/>
        <v>#DIV/0!</v>
      </c>
      <c r="G42" s="6">
        <f t="shared" si="6"/>
        <v>0</v>
      </c>
      <c r="H42" s="6">
        <f t="shared" si="6"/>
        <v>0</v>
      </c>
      <c r="I42" s="22" t="e">
        <f>H42/G42</f>
        <v>#DIV/0!</v>
      </c>
      <c r="J42" s="2"/>
    </row>
    <row r="43" spans="1:10" ht="36" customHeight="1">
      <c r="A43" s="86"/>
      <c r="B43" s="86"/>
      <c r="C43" s="87" t="s">
        <v>45</v>
      </c>
      <c r="D43" s="5">
        <v>240</v>
      </c>
      <c r="E43" s="5">
        <v>0</v>
      </c>
      <c r="F43" s="22">
        <f t="shared" si="3"/>
        <v>0</v>
      </c>
      <c r="G43" s="6">
        <f t="shared" si="6"/>
        <v>240</v>
      </c>
      <c r="H43" s="6">
        <f t="shared" si="6"/>
        <v>0</v>
      </c>
      <c r="I43" s="22">
        <f>H43/G43</f>
        <v>0</v>
      </c>
      <c r="J43" s="21" t="s">
        <v>63</v>
      </c>
    </row>
    <row r="44" spans="1:10" ht="48" customHeight="1" hidden="1">
      <c r="A44" s="86"/>
      <c r="B44" s="86"/>
      <c r="C44" s="94"/>
      <c r="D44" s="5">
        <v>0</v>
      </c>
      <c r="E44" s="5">
        <v>0</v>
      </c>
      <c r="F44" s="22" t="e">
        <f t="shared" si="3"/>
        <v>#DIV/0!</v>
      </c>
      <c r="G44" s="6">
        <f t="shared" si="6"/>
        <v>0</v>
      </c>
      <c r="H44" s="6">
        <f t="shared" si="6"/>
        <v>0</v>
      </c>
      <c r="I44" s="22" t="e">
        <f>H44/G44</f>
        <v>#DIV/0!</v>
      </c>
      <c r="J44" s="21"/>
    </row>
    <row r="45" spans="1:10" ht="270.75" customHeight="1">
      <c r="A45" s="86"/>
      <c r="B45" s="86"/>
      <c r="C45" s="87" t="s">
        <v>40</v>
      </c>
      <c r="D45" s="8">
        <f>SUM(D46:D60)</f>
        <v>8516</v>
      </c>
      <c r="E45" s="8">
        <f>SUM(E46:E60)</f>
        <v>941.32309</v>
      </c>
      <c r="F45" s="18">
        <f>E45/D45</f>
        <v>0.11053582550493189</v>
      </c>
      <c r="G45" s="8">
        <f>SUM(G46:G60)</f>
        <v>8516</v>
      </c>
      <c r="H45" s="8">
        <f>SUM(H46:H60)</f>
        <v>941.32309</v>
      </c>
      <c r="I45" s="18">
        <f aca="true" t="shared" si="7" ref="I45:I78">H45/G45</f>
        <v>0.11053582550493189</v>
      </c>
      <c r="J45" s="23" t="s">
        <v>20</v>
      </c>
    </row>
    <row r="46" spans="1:10" ht="47.25">
      <c r="A46" s="86"/>
      <c r="B46" s="86"/>
      <c r="C46" s="88"/>
      <c r="D46" s="5">
        <v>700</v>
      </c>
      <c r="E46" s="5">
        <v>134.04082</v>
      </c>
      <c r="F46" s="22">
        <f t="shared" si="3"/>
        <v>0.1914868857142857</v>
      </c>
      <c r="G46" s="6">
        <f aca="true" t="shared" si="8" ref="G46:G60">D46</f>
        <v>700</v>
      </c>
      <c r="H46" s="6">
        <f aca="true" t="shared" si="9" ref="H46:H60">E46</f>
        <v>134.04082</v>
      </c>
      <c r="I46" s="22">
        <f t="shared" si="7"/>
        <v>0.1914868857142857</v>
      </c>
      <c r="J46" s="2" t="s">
        <v>49</v>
      </c>
    </row>
    <row r="47" spans="1:10" ht="31.5">
      <c r="A47" s="86"/>
      <c r="B47" s="86"/>
      <c r="C47" s="88"/>
      <c r="D47" s="5">
        <v>100</v>
      </c>
      <c r="E47" s="5">
        <v>0</v>
      </c>
      <c r="F47" s="22">
        <f t="shared" si="3"/>
        <v>0</v>
      </c>
      <c r="G47" s="6">
        <f t="shared" si="8"/>
        <v>100</v>
      </c>
      <c r="H47" s="6">
        <f t="shared" si="9"/>
        <v>0</v>
      </c>
      <c r="I47" s="22">
        <f t="shared" si="7"/>
        <v>0</v>
      </c>
      <c r="J47" s="2" t="s">
        <v>12</v>
      </c>
    </row>
    <row r="48" spans="1:10" ht="47.25">
      <c r="A48" s="86"/>
      <c r="B48" s="86"/>
      <c r="C48" s="88"/>
      <c r="D48" s="5">
        <v>600</v>
      </c>
      <c r="E48" s="5">
        <v>0</v>
      </c>
      <c r="F48" s="22">
        <f t="shared" si="3"/>
        <v>0</v>
      </c>
      <c r="G48" s="6">
        <f t="shared" si="8"/>
        <v>600</v>
      </c>
      <c r="H48" s="6">
        <f t="shared" si="9"/>
        <v>0</v>
      </c>
      <c r="I48" s="22">
        <f t="shared" si="7"/>
        <v>0</v>
      </c>
      <c r="J48" s="2" t="s">
        <v>50</v>
      </c>
    </row>
    <row r="49" spans="1:10" ht="157.5">
      <c r="A49" s="86"/>
      <c r="B49" s="86"/>
      <c r="C49" s="88"/>
      <c r="D49" s="5">
        <v>130.55</v>
      </c>
      <c r="E49" s="5">
        <v>0</v>
      </c>
      <c r="F49" s="22">
        <f t="shared" si="3"/>
        <v>0</v>
      </c>
      <c r="G49" s="6">
        <f t="shared" si="8"/>
        <v>130.55</v>
      </c>
      <c r="H49" s="6">
        <f t="shared" si="9"/>
        <v>0</v>
      </c>
      <c r="I49" s="22">
        <f t="shared" si="7"/>
        <v>0</v>
      </c>
      <c r="J49" s="3" t="s">
        <v>85</v>
      </c>
    </row>
    <row r="50" spans="1:10" ht="110.25">
      <c r="A50" s="86"/>
      <c r="B50" s="86"/>
      <c r="C50" s="88"/>
      <c r="D50" s="5">
        <v>400</v>
      </c>
      <c r="E50" s="5">
        <v>0</v>
      </c>
      <c r="F50" s="22">
        <f t="shared" si="3"/>
        <v>0</v>
      </c>
      <c r="G50" s="6">
        <f t="shared" si="8"/>
        <v>400</v>
      </c>
      <c r="H50" s="6">
        <f t="shared" si="9"/>
        <v>0</v>
      </c>
      <c r="I50" s="22">
        <f t="shared" si="7"/>
        <v>0</v>
      </c>
      <c r="J50" s="2" t="s">
        <v>82</v>
      </c>
    </row>
    <row r="51" spans="1:10" ht="31.5">
      <c r="A51" s="86"/>
      <c r="B51" s="86"/>
      <c r="C51" s="88"/>
      <c r="D51" s="5">
        <v>250</v>
      </c>
      <c r="E51" s="5">
        <v>6.43162</v>
      </c>
      <c r="F51" s="22">
        <f t="shared" si="3"/>
        <v>0.02572648</v>
      </c>
      <c r="G51" s="6">
        <f t="shared" si="8"/>
        <v>250</v>
      </c>
      <c r="H51" s="6">
        <f t="shared" si="9"/>
        <v>6.43162</v>
      </c>
      <c r="I51" s="22">
        <f t="shared" si="7"/>
        <v>0.02572648</v>
      </c>
      <c r="J51" s="2" t="s">
        <v>6</v>
      </c>
    </row>
    <row r="52" spans="1:10" ht="15.75">
      <c r="A52" s="86"/>
      <c r="B52" s="86"/>
      <c r="C52" s="88"/>
      <c r="D52" s="5">
        <v>840</v>
      </c>
      <c r="E52" s="5">
        <v>0</v>
      </c>
      <c r="F52" s="22">
        <f t="shared" si="3"/>
        <v>0</v>
      </c>
      <c r="G52" s="6">
        <f t="shared" si="8"/>
        <v>840</v>
      </c>
      <c r="H52" s="6">
        <f t="shared" si="9"/>
        <v>0</v>
      </c>
      <c r="I52" s="22">
        <f t="shared" si="7"/>
        <v>0</v>
      </c>
      <c r="J52" s="2"/>
    </row>
    <row r="53" spans="1:10" ht="31.5">
      <c r="A53" s="86"/>
      <c r="B53" s="86"/>
      <c r="C53" s="88"/>
      <c r="D53" s="5">
        <v>150</v>
      </c>
      <c r="E53" s="5">
        <v>9.51722</v>
      </c>
      <c r="F53" s="22">
        <f t="shared" si="3"/>
        <v>0.06344813333333334</v>
      </c>
      <c r="G53" s="6">
        <f t="shared" si="8"/>
        <v>150</v>
      </c>
      <c r="H53" s="6">
        <f t="shared" si="9"/>
        <v>9.51722</v>
      </c>
      <c r="I53" s="22">
        <f t="shared" si="7"/>
        <v>0.06344813333333334</v>
      </c>
      <c r="J53" s="2" t="s">
        <v>7</v>
      </c>
    </row>
    <row r="54" spans="1:10" ht="31.5">
      <c r="A54" s="86"/>
      <c r="B54" s="86"/>
      <c r="C54" s="88"/>
      <c r="D54" s="5">
        <v>1400</v>
      </c>
      <c r="E54" s="5">
        <v>366.8096</v>
      </c>
      <c r="F54" s="22">
        <f t="shared" si="3"/>
        <v>0.26200685714285715</v>
      </c>
      <c r="G54" s="6">
        <f t="shared" si="8"/>
        <v>1400</v>
      </c>
      <c r="H54" s="6">
        <f t="shared" si="9"/>
        <v>366.8096</v>
      </c>
      <c r="I54" s="22">
        <f t="shared" si="7"/>
        <v>0.26200685714285715</v>
      </c>
      <c r="J54" s="2" t="s">
        <v>8</v>
      </c>
    </row>
    <row r="55" spans="1:10" ht="31.5">
      <c r="A55" s="86"/>
      <c r="B55" s="86"/>
      <c r="C55" s="88"/>
      <c r="D55" s="5">
        <v>100</v>
      </c>
      <c r="E55" s="5">
        <v>0</v>
      </c>
      <c r="F55" s="22">
        <f t="shared" si="3"/>
        <v>0</v>
      </c>
      <c r="G55" s="6">
        <f t="shared" si="8"/>
        <v>100</v>
      </c>
      <c r="H55" s="6">
        <f t="shared" si="9"/>
        <v>0</v>
      </c>
      <c r="I55" s="22">
        <f t="shared" si="7"/>
        <v>0</v>
      </c>
      <c r="J55" s="2" t="s">
        <v>9</v>
      </c>
    </row>
    <row r="56" spans="1:10" ht="31.5">
      <c r="A56" s="86"/>
      <c r="B56" s="86"/>
      <c r="C56" s="88"/>
      <c r="D56" s="5">
        <v>50</v>
      </c>
      <c r="E56" s="5">
        <v>0</v>
      </c>
      <c r="F56" s="22">
        <f t="shared" si="3"/>
        <v>0</v>
      </c>
      <c r="G56" s="6">
        <f t="shared" si="8"/>
        <v>50</v>
      </c>
      <c r="H56" s="6">
        <f t="shared" si="9"/>
        <v>0</v>
      </c>
      <c r="I56" s="22">
        <f t="shared" si="7"/>
        <v>0</v>
      </c>
      <c r="J56" s="2" t="s">
        <v>10</v>
      </c>
    </row>
    <row r="57" spans="1:10" ht="31.5">
      <c r="A57" s="86"/>
      <c r="B57" s="86"/>
      <c r="C57" s="88"/>
      <c r="D57" s="5">
        <v>3240.8016</v>
      </c>
      <c r="E57" s="5">
        <v>324.55583</v>
      </c>
      <c r="F57" s="22">
        <f t="shared" si="3"/>
        <v>0.10014677541507017</v>
      </c>
      <c r="G57" s="6">
        <f t="shared" si="8"/>
        <v>3240.8016</v>
      </c>
      <c r="H57" s="6">
        <f t="shared" si="9"/>
        <v>324.55583</v>
      </c>
      <c r="I57" s="22">
        <f t="shared" si="7"/>
        <v>0.10014677541507017</v>
      </c>
      <c r="J57" s="2" t="s">
        <v>11</v>
      </c>
    </row>
    <row r="58" spans="1:10" ht="31.5">
      <c r="A58" s="86"/>
      <c r="B58" s="86"/>
      <c r="C58" s="88"/>
      <c r="D58" s="5">
        <v>54.6484</v>
      </c>
      <c r="E58" s="5">
        <v>0</v>
      </c>
      <c r="F58" s="22">
        <f t="shared" si="3"/>
        <v>0</v>
      </c>
      <c r="G58" s="6">
        <f t="shared" si="8"/>
        <v>54.6484</v>
      </c>
      <c r="H58" s="6">
        <f t="shared" si="9"/>
        <v>0</v>
      </c>
      <c r="I58" s="22">
        <f>H58/G58</f>
        <v>0</v>
      </c>
      <c r="J58" s="2" t="s">
        <v>67</v>
      </c>
    </row>
    <row r="59" spans="1:10" ht="47.25">
      <c r="A59" s="86"/>
      <c r="B59" s="86"/>
      <c r="C59" s="88"/>
      <c r="D59" s="5">
        <v>350</v>
      </c>
      <c r="E59" s="5">
        <v>99.968</v>
      </c>
      <c r="F59" s="22">
        <f t="shared" si="3"/>
        <v>0.2856228571428572</v>
      </c>
      <c r="G59" s="6">
        <f t="shared" si="8"/>
        <v>350</v>
      </c>
      <c r="H59" s="6">
        <f t="shared" si="9"/>
        <v>99.968</v>
      </c>
      <c r="I59" s="22">
        <f>H59/G59</f>
        <v>0.2856228571428572</v>
      </c>
      <c r="J59" s="2" t="s">
        <v>24</v>
      </c>
    </row>
    <row r="60" spans="1:10" ht="63">
      <c r="A60" s="86"/>
      <c r="B60" s="86"/>
      <c r="C60" s="88"/>
      <c r="D60" s="5">
        <v>150</v>
      </c>
      <c r="E60" s="5">
        <v>0</v>
      </c>
      <c r="F60" s="22">
        <f t="shared" si="3"/>
        <v>0</v>
      </c>
      <c r="G60" s="6">
        <f t="shared" si="8"/>
        <v>150</v>
      </c>
      <c r="H60" s="6">
        <f t="shared" si="9"/>
        <v>0</v>
      </c>
      <c r="I60" s="22">
        <f>H60/G60</f>
        <v>0</v>
      </c>
      <c r="J60" s="2" t="s">
        <v>86</v>
      </c>
    </row>
    <row r="61" spans="1:10" ht="16.5" customHeight="1">
      <c r="A61" s="86" t="s">
        <v>80</v>
      </c>
      <c r="B61" s="86" t="s">
        <v>21</v>
      </c>
      <c r="C61" s="17" t="s">
        <v>36</v>
      </c>
      <c r="D61" s="7" t="e">
        <f>D62+D63+D68+D69+D70</f>
        <v>#REF!</v>
      </c>
      <c r="E61" s="7">
        <f>E62+E63+E68+E69+E70</f>
        <v>5949.986</v>
      </c>
      <c r="F61" s="18">
        <f>E61/D61</f>
        <v>0.3086223584198083</v>
      </c>
      <c r="G61" s="7" t="e">
        <f>G62+G63+G68+G69+G70</f>
        <v>#REF!</v>
      </c>
      <c r="H61" s="7">
        <v>5949.986</v>
      </c>
      <c r="I61" s="18" t="e">
        <f t="shared" si="7"/>
        <v>#REF!</v>
      </c>
      <c r="J61" s="20"/>
    </row>
    <row r="62" spans="1:10" ht="17.25" customHeight="1">
      <c r="A62" s="86"/>
      <c r="B62" s="86"/>
      <c r="C62" s="14" t="s">
        <v>37</v>
      </c>
      <c r="D62" s="5"/>
      <c r="E62" s="5"/>
      <c r="F62" s="27"/>
      <c r="G62" s="5"/>
      <c r="H62" s="5"/>
      <c r="I62" s="27"/>
      <c r="J62" s="20"/>
    </row>
    <row r="63" spans="1:10" ht="17.25" customHeight="1">
      <c r="A63" s="86"/>
      <c r="B63" s="86"/>
      <c r="C63" s="86" t="s">
        <v>38</v>
      </c>
      <c r="D63" s="7" t="e">
        <f>SUM(D64:D67)</f>
        <v>#REF!</v>
      </c>
      <c r="E63" s="7">
        <f>SUM(E64:E67)</f>
        <v>0</v>
      </c>
      <c r="F63" s="18">
        <f>E63/D63</f>
        <v>0</v>
      </c>
      <c r="G63" s="7" t="e">
        <f>SUM(G64:G67)</f>
        <v>#REF!</v>
      </c>
      <c r="H63" s="7">
        <f>SUM(H64:H67)</f>
        <v>0</v>
      </c>
      <c r="I63" s="18">
        <f t="shared" si="7"/>
        <v>0.9262047146880666</v>
      </c>
      <c r="J63" s="20"/>
    </row>
    <row r="64" spans="1:10" ht="157.5">
      <c r="A64" s="86"/>
      <c r="B64" s="86"/>
      <c r="C64" s="86"/>
      <c r="D64" s="5">
        <v>2163.7</v>
      </c>
      <c r="E64" s="5">
        <v>0</v>
      </c>
      <c r="F64" s="22">
        <f>E64/D64</f>
        <v>0</v>
      </c>
      <c r="G64" s="6">
        <f aca="true" t="shared" si="10" ref="G64:H67">D64</f>
        <v>2163.7</v>
      </c>
      <c r="H64" s="6">
        <f t="shared" si="10"/>
        <v>0</v>
      </c>
      <c r="I64" s="22">
        <f>H64/G64</f>
        <v>0</v>
      </c>
      <c r="J64" s="2" t="s">
        <v>56</v>
      </c>
    </row>
    <row r="65" spans="1:10" ht="157.5">
      <c r="A65" s="86"/>
      <c r="B65" s="86"/>
      <c r="C65" s="86"/>
      <c r="D65" s="5">
        <v>113.9</v>
      </c>
      <c r="E65" s="5">
        <v>0</v>
      </c>
      <c r="F65" s="22">
        <f>E65/D65</f>
        <v>0</v>
      </c>
      <c r="G65" s="6">
        <f t="shared" si="10"/>
        <v>113.9</v>
      </c>
      <c r="H65" s="6">
        <f t="shared" si="10"/>
        <v>0</v>
      </c>
      <c r="I65" s="22">
        <f>H65/G65</f>
        <v>0</v>
      </c>
      <c r="J65" s="2" t="s">
        <v>57</v>
      </c>
    </row>
    <row r="66" spans="1:10" ht="31.5" hidden="1">
      <c r="A66" s="86"/>
      <c r="B66" s="86"/>
      <c r="C66" s="86"/>
      <c r="D66" s="5" t="e">
        <f>#REF!</f>
        <v>#REF!</v>
      </c>
      <c r="E66" s="5">
        <f>H66-#REF!</f>
        <v>0</v>
      </c>
      <c r="F66" s="22" t="e">
        <f>E66/D66</f>
        <v>#DIV/0!</v>
      </c>
      <c r="G66" s="6" t="e">
        <f t="shared" si="10"/>
        <v>#REF!</v>
      </c>
      <c r="H66" s="6">
        <f t="shared" si="10"/>
        <v>0</v>
      </c>
      <c r="I66" s="22" t="e">
        <f>H66/G66</f>
        <v>#DIV/0!</v>
      </c>
      <c r="J66" s="2" t="s">
        <v>55</v>
      </c>
    </row>
    <row r="67" spans="1:10" ht="47.25">
      <c r="A67" s="86"/>
      <c r="B67" s="86"/>
      <c r="C67" s="86"/>
      <c r="D67" s="5">
        <v>4099.18</v>
      </c>
      <c r="E67" s="5">
        <v>0</v>
      </c>
      <c r="F67" s="22">
        <f>E67/D67</f>
        <v>0</v>
      </c>
      <c r="G67" s="6">
        <f t="shared" si="10"/>
        <v>4099.18</v>
      </c>
      <c r="H67" s="6">
        <f t="shared" si="10"/>
        <v>0</v>
      </c>
      <c r="I67" s="22">
        <f>H67/G67</f>
        <v>0</v>
      </c>
      <c r="J67" s="2" t="s">
        <v>65</v>
      </c>
    </row>
    <row r="68" spans="1:10" ht="31.5">
      <c r="A68" s="86"/>
      <c r="B68" s="86"/>
      <c r="C68" s="14" t="s">
        <v>39</v>
      </c>
      <c r="D68" s="5"/>
      <c r="E68" s="5"/>
      <c r="F68" s="21"/>
      <c r="G68" s="5"/>
      <c r="H68" s="5"/>
      <c r="I68" s="27"/>
      <c r="J68" s="20"/>
    </row>
    <row r="69" spans="1:10" ht="31.5">
      <c r="A69" s="86"/>
      <c r="B69" s="86"/>
      <c r="C69" s="14" t="s">
        <v>45</v>
      </c>
      <c r="D69" s="5"/>
      <c r="E69" s="5"/>
      <c r="F69" s="21"/>
      <c r="G69" s="5"/>
      <c r="H69" s="5"/>
      <c r="I69" s="27"/>
      <c r="J69" s="20"/>
    </row>
    <row r="70" spans="1:10" ht="157.5" customHeight="1">
      <c r="A70" s="86"/>
      <c r="B70" s="86"/>
      <c r="C70" s="86" t="s">
        <v>40</v>
      </c>
      <c r="D70" s="8">
        <f>SUM(D71:D77)</f>
        <v>12902.4</v>
      </c>
      <c r="E70" s="8">
        <f>SUM(E71:E77)</f>
        <v>5949.986</v>
      </c>
      <c r="F70" s="18">
        <f>E70/D70</f>
        <v>0.46115342881944443</v>
      </c>
      <c r="G70" s="8">
        <f>SUM(G71:G77)</f>
        <v>12902.4</v>
      </c>
      <c r="H70" s="8">
        <f>SUM(H71:H77)</f>
        <v>5949.986</v>
      </c>
      <c r="I70" s="18">
        <f t="shared" si="7"/>
        <v>0.46115342881944443</v>
      </c>
      <c r="J70" s="23" t="s">
        <v>22</v>
      </c>
    </row>
    <row r="71" spans="1:10" ht="63">
      <c r="A71" s="86"/>
      <c r="B71" s="86"/>
      <c r="C71" s="86"/>
      <c r="D71" s="5">
        <v>11231.64</v>
      </c>
      <c r="E71" s="5">
        <v>5749.38</v>
      </c>
      <c r="F71" s="22">
        <f aca="true" t="shared" si="11" ref="F71:F77">E71/D71</f>
        <v>0.5118914067758582</v>
      </c>
      <c r="G71" s="6">
        <f aca="true" t="shared" si="12" ref="G71:G77">D71</f>
        <v>11231.64</v>
      </c>
      <c r="H71" s="6">
        <f aca="true" t="shared" si="13" ref="H71:H77">E71</f>
        <v>5749.38</v>
      </c>
      <c r="I71" s="22">
        <f t="shared" si="7"/>
        <v>0.5118914067758582</v>
      </c>
      <c r="J71" s="2" t="s">
        <v>26</v>
      </c>
    </row>
    <row r="72" spans="1:10" ht="47.25">
      <c r="A72" s="86"/>
      <c r="B72" s="86"/>
      <c r="C72" s="86"/>
      <c r="D72" s="5">
        <v>210</v>
      </c>
      <c r="E72" s="5">
        <v>0</v>
      </c>
      <c r="F72" s="22">
        <f t="shared" si="11"/>
        <v>0</v>
      </c>
      <c r="G72" s="6">
        <f t="shared" si="12"/>
        <v>210</v>
      </c>
      <c r="H72" s="6">
        <f t="shared" si="13"/>
        <v>0</v>
      </c>
      <c r="I72" s="22">
        <f t="shared" si="7"/>
        <v>0</v>
      </c>
      <c r="J72" s="2" t="s">
        <v>27</v>
      </c>
    </row>
    <row r="73" spans="1:10" ht="63">
      <c r="A73" s="86"/>
      <c r="B73" s="86"/>
      <c r="C73" s="86"/>
      <c r="D73" s="5">
        <v>708</v>
      </c>
      <c r="E73" s="5">
        <v>166.73</v>
      </c>
      <c r="F73" s="22">
        <f t="shared" si="11"/>
        <v>0.23549435028248586</v>
      </c>
      <c r="G73" s="6">
        <f t="shared" si="12"/>
        <v>708</v>
      </c>
      <c r="H73" s="6">
        <f t="shared" si="13"/>
        <v>166.73</v>
      </c>
      <c r="I73" s="22">
        <f t="shared" si="7"/>
        <v>0.23549435028248586</v>
      </c>
      <c r="J73" s="2" t="s">
        <v>28</v>
      </c>
    </row>
    <row r="74" spans="1:10" ht="47.25">
      <c r="A74" s="86"/>
      <c r="B74" s="86"/>
      <c r="C74" s="86"/>
      <c r="D74" s="5">
        <v>52.23</v>
      </c>
      <c r="E74" s="5">
        <v>0</v>
      </c>
      <c r="F74" s="22">
        <f t="shared" si="11"/>
        <v>0</v>
      </c>
      <c r="G74" s="6">
        <f t="shared" si="12"/>
        <v>52.23</v>
      </c>
      <c r="H74" s="6">
        <f t="shared" si="13"/>
        <v>0</v>
      </c>
      <c r="I74" s="22">
        <f t="shared" si="7"/>
        <v>0</v>
      </c>
      <c r="J74" s="2" t="s">
        <v>29</v>
      </c>
    </row>
    <row r="75" spans="1:10" ht="47.25">
      <c r="A75" s="86"/>
      <c r="B75" s="86"/>
      <c r="C75" s="86"/>
      <c r="D75" s="5">
        <v>120</v>
      </c>
      <c r="E75" s="5">
        <v>30</v>
      </c>
      <c r="F75" s="22">
        <f t="shared" si="11"/>
        <v>0.25</v>
      </c>
      <c r="G75" s="6">
        <f t="shared" si="12"/>
        <v>120</v>
      </c>
      <c r="H75" s="6">
        <f t="shared" si="13"/>
        <v>30</v>
      </c>
      <c r="I75" s="22">
        <f t="shared" si="7"/>
        <v>0.25</v>
      </c>
      <c r="J75" s="2" t="s">
        <v>13</v>
      </c>
    </row>
    <row r="76" spans="1:10" ht="47.25">
      <c r="A76" s="86"/>
      <c r="B76" s="86"/>
      <c r="C76" s="86"/>
      <c r="D76" s="5">
        <v>120</v>
      </c>
      <c r="E76" s="5">
        <v>3.876</v>
      </c>
      <c r="F76" s="22">
        <f t="shared" si="11"/>
        <v>0.0323</v>
      </c>
      <c r="G76" s="6">
        <f t="shared" si="12"/>
        <v>120</v>
      </c>
      <c r="H76" s="6">
        <f t="shared" si="13"/>
        <v>3.876</v>
      </c>
      <c r="I76" s="22">
        <f>H76/G76</f>
        <v>0.0323</v>
      </c>
      <c r="J76" s="2" t="s">
        <v>66</v>
      </c>
    </row>
    <row r="77" spans="1:10" ht="52.5" customHeight="1">
      <c r="A77" s="86"/>
      <c r="B77" s="86"/>
      <c r="C77" s="86"/>
      <c r="D77" s="5">
        <v>460.53</v>
      </c>
      <c r="E77" s="5">
        <v>0</v>
      </c>
      <c r="F77" s="22">
        <f t="shared" si="11"/>
        <v>0</v>
      </c>
      <c r="G77" s="6">
        <f t="shared" si="12"/>
        <v>460.53</v>
      </c>
      <c r="H77" s="6">
        <f t="shared" si="13"/>
        <v>0</v>
      </c>
      <c r="I77" s="22">
        <f t="shared" si="7"/>
        <v>0</v>
      </c>
      <c r="J77" s="2" t="s">
        <v>64</v>
      </c>
    </row>
    <row r="78" spans="1:10" ht="16.5" customHeight="1">
      <c r="A78" s="86" t="s">
        <v>81</v>
      </c>
      <c r="B78" s="86" t="s">
        <v>43</v>
      </c>
      <c r="C78" s="17" t="s">
        <v>36</v>
      </c>
      <c r="D78" s="7">
        <f>D79+D80+D81+D82+D83</f>
        <v>6923.966</v>
      </c>
      <c r="E78" s="7">
        <f>E79+E80+E81+E82+E83</f>
        <v>548</v>
      </c>
      <c r="F78" s="18">
        <f>E78/D78</f>
        <v>0.07914539152849681</v>
      </c>
      <c r="G78" s="7">
        <f>G79+G80+G81+G82+G83</f>
        <v>6923.966</v>
      </c>
      <c r="H78" s="7">
        <f>H79+H80+H81+H82+H83</f>
        <v>548</v>
      </c>
      <c r="I78" s="18">
        <f t="shared" si="7"/>
        <v>0.07914539152849681</v>
      </c>
      <c r="J78" s="20"/>
    </row>
    <row r="79" spans="1:10" ht="49.5" customHeight="1">
      <c r="A79" s="86"/>
      <c r="B79" s="86"/>
      <c r="C79" s="14" t="s">
        <v>37</v>
      </c>
      <c r="D79" s="5">
        <v>1906.9</v>
      </c>
      <c r="E79" s="5">
        <v>0</v>
      </c>
      <c r="F79" s="22">
        <f>E79/D79</f>
        <v>0</v>
      </c>
      <c r="G79" s="6">
        <f aca="true" t="shared" si="14" ref="G79:H82">D79</f>
        <v>1906.9</v>
      </c>
      <c r="H79" s="6">
        <f t="shared" si="14"/>
        <v>0</v>
      </c>
      <c r="I79" s="22">
        <f>H79/G79</f>
        <v>0</v>
      </c>
      <c r="J79" s="9" t="s">
        <v>88</v>
      </c>
    </row>
    <row r="80" spans="1:10" ht="141.75">
      <c r="A80" s="86"/>
      <c r="B80" s="86"/>
      <c r="C80" s="14" t="s">
        <v>90</v>
      </c>
      <c r="D80" s="5">
        <v>600</v>
      </c>
      <c r="E80" s="5">
        <v>0</v>
      </c>
      <c r="F80" s="22">
        <f>E80/D80</f>
        <v>0</v>
      </c>
      <c r="G80" s="6">
        <f t="shared" si="14"/>
        <v>600</v>
      </c>
      <c r="H80" s="6">
        <f t="shared" si="14"/>
        <v>0</v>
      </c>
      <c r="I80" s="22">
        <f>H80/G80</f>
        <v>0</v>
      </c>
      <c r="J80" s="9" t="s">
        <v>89</v>
      </c>
    </row>
    <row r="81" spans="1:10" ht="31.5">
      <c r="A81" s="86"/>
      <c r="B81" s="86"/>
      <c r="C81" s="14" t="s">
        <v>39</v>
      </c>
      <c r="D81" s="5"/>
      <c r="E81" s="5"/>
      <c r="F81" s="21"/>
      <c r="G81" s="6">
        <f t="shared" si="14"/>
        <v>0</v>
      </c>
      <c r="H81" s="6">
        <f t="shared" si="14"/>
        <v>0</v>
      </c>
      <c r="I81" s="22"/>
      <c r="J81" s="20"/>
    </row>
    <row r="82" spans="1:10" ht="47.25">
      <c r="A82" s="86"/>
      <c r="B82" s="86"/>
      <c r="C82" s="14" t="s">
        <v>45</v>
      </c>
      <c r="D82" s="5">
        <v>47.066</v>
      </c>
      <c r="E82" s="5">
        <v>0</v>
      </c>
      <c r="F82" s="22">
        <f aca="true" t="shared" si="15" ref="F82:F97">E82/D82</f>
        <v>0</v>
      </c>
      <c r="G82" s="6">
        <f t="shared" si="14"/>
        <v>47.066</v>
      </c>
      <c r="H82" s="6">
        <f t="shared" si="14"/>
        <v>0</v>
      </c>
      <c r="I82" s="22">
        <f>H82/G82</f>
        <v>0</v>
      </c>
      <c r="J82" s="4" t="s">
        <v>46</v>
      </c>
    </row>
    <row r="83" spans="1:10" ht="299.25">
      <c r="A83" s="86"/>
      <c r="B83" s="86"/>
      <c r="C83" s="86" t="s">
        <v>40</v>
      </c>
      <c r="D83" s="8">
        <f>SUM(D84:D88)</f>
        <v>4370</v>
      </c>
      <c r="E83" s="8">
        <f>SUM(E84:E88)</f>
        <v>548</v>
      </c>
      <c r="F83" s="18">
        <f t="shared" si="15"/>
        <v>0.12540045766590388</v>
      </c>
      <c r="G83" s="8">
        <f>SUM(G84:G88)</f>
        <v>4370</v>
      </c>
      <c r="H83" s="8">
        <f>SUM(H84:H88)</f>
        <v>548</v>
      </c>
      <c r="I83" s="18">
        <f aca="true" t="shared" si="16" ref="I83:I97">H83/G83</f>
        <v>0.12540045766590388</v>
      </c>
      <c r="J83" s="23" t="s">
        <v>23</v>
      </c>
    </row>
    <row r="84" spans="1:10" ht="31.5">
      <c r="A84" s="86"/>
      <c r="B84" s="86"/>
      <c r="C84" s="86"/>
      <c r="D84" s="5">
        <v>61.7723</v>
      </c>
      <c r="E84" s="5">
        <v>7</v>
      </c>
      <c r="F84" s="22">
        <f t="shared" si="15"/>
        <v>0.11331940044324074</v>
      </c>
      <c r="G84" s="6">
        <f aca="true" t="shared" si="17" ref="G84:H88">D84</f>
        <v>61.7723</v>
      </c>
      <c r="H84" s="6">
        <f t="shared" si="17"/>
        <v>7</v>
      </c>
      <c r="I84" s="22">
        <f t="shared" si="16"/>
        <v>0.11331940044324074</v>
      </c>
      <c r="J84" s="2" t="s">
        <v>14</v>
      </c>
    </row>
    <row r="85" spans="1:10" ht="47.25">
      <c r="A85" s="86"/>
      <c r="B85" s="86"/>
      <c r="C85" s="86"/>
      <c r="D85" s="5">
        <v>406.9327</v>
      </c>
      <c r="E85" s="5">
        <v>0</v>
      </c>
      <c r="F85" s="22">
        <f t="shared" si="15"/>
        <v>0</v>
      </c>
      <c r="G85" s="6">
        <f t="shared" si="17"/>
        <v>406.9327</v>
      </c>
      <c r="H85" s="6">
        <f t="shared" si="17"/>
        <v>0</v>
      </c>
      <c r="I85" s="22">
        <f>H85/G85</f>
        <v>0</v>
      </c>
      <c r="J85" s="2" t="s">
        <v>52</v>
      </c>
    </row>
    <row r="86" spans="1:10" ht="78.75">
      <c r="A86" s="86"/>
      <c r="B86" s="86"/>
      <c r="C86" s="86"/>
      <c r="D86" s="5">
        <v>940</v>
      </c>
      <c r="E86" s="5">
        <v>466</v>
      </c>
      <c r="F86" s="22">
        <f t="shared" si="15"/>
        <v>0.4957446808510638</v>
      </c>
      <c r="G86" s="6">
        <f t="shared" si="17"/>
        <v>940</v>
      </c>
      <c r="H86" s="6">
        <f t="shared" si="17"/>
        <v>466</v>
      </c>
      <c r="I86" s="22">
        <f>H86/G86</f>
        <v>0.4957446808510638</v>
      </c>
      <c r="J86" s="2" t="s">
        <v>30</v>
      </c>
    </row>
    <row r="87" spans="1:10" ht="31.5">
      <c r="A87" s="86"/>
      <c r="B87" s="86"/>
      <c r="C87" s="86"/>
      <c r="D87" s="5">
        <v>150</v>
      </c>
      <c r="E87" s="5">
        <v>75</v>
      </c>
      <c r="F87" s="22">
        <f t="shared" si="15"/>
        <v>0.5</v>
      </c>
      <c r="G87" s="6">
        <f t="shared" si="17"/>
        <v>150</v>
      </c>
      <c r="H87" s="6">
        <f t="shared" si="17"/>
        <v>75</v>
      </c>
      <c r="I87" s="22">
        <f t="shared" si="16"/>
        <v>0.5</v>
      </c>
      <c r="J87" s="2" t="s">
        <v>15</v>
      </c>
    </row>
    <row r="88" spans="1:10" ht="47.25">
      <c r="A88" s="86"/>
      <c r="B88" s="86"/>
      <c r="C88" s="86"/>
      <c r="D88" s="5">
        <v>2811.295</v>
      </c>
      <c r="E88" s="5">
        <v>0</v>
      </c>
      <c r="F88" s="22">
        <f t="shared" si="15"/>
        <v>0</v>
      </c>
      <c r="G88" s="6">
        <f t="shared" si="17"/>
        <v>2811.295</v>
      </c>
      <c r="H88" s="6">
        <f t="shared" si="17"/>
        <v>0</v>
      </c>
      <c r="I88" s="22">
        <f t="shared" si="16"/>
        <v>0</v>
      </c>
      <c r="J88" s="2" t="s">
        <v>51</v>
      </c>
    </row>
    <row r="89" spans="1:10" ht="78.75">
      <c r="A89" s="87" t="s">
        <v>91</v>
      </c>
      <c r="B89" s="87"/>
      <c r="C89" s="87" t="s">
        <v>40</v>
      </c>
      <c r="D89" s="8">
        <f>SUM(D90:D91)</f>
        <v>3040</v>
      </c>
      <c r="E89" s="8">
        <f>SUM(E90:E91)</f>
        <v>0</v>
      </c>
      <c r="F89" s="18">
        <f t="shared" si="15"/>
        <v>0</v>
      </c>
      <c r="G89" s="8">
        <f>SUM(G90:G91)</f>
        <v>3040</v>
      </c>
      <c r="H89" s="8">
        <f>SUM(H90:H91)</f>
        <v>0</v>
      </c>
      <c r="I89" s="18">
        <f t="shared" si="16"/>
        <v>0</v>
      </c>
      <c r="J89" s="29" t="s">
        <v>92</v>
      </c>
    </row>
    <row r="90" spans="1:10" ht="94.5">
      <c r="A90" s="88"/>
      <c r="B90" s="88"/>
      <c r="C90" s="88"/>
      <c r="D90" s="5">
        <v>1506.8</v>
      </c>
      <c r="E90" s="5"/>
      <c r="F90" s="22">
        <f t="shared" si="15"/>
        <v>0</v>
      </c>
      <c r="G90" s="6">
        <f>D90</f>
        <v>1506.8</v>
      </c>
      <c r="H90" s="6">
        <f>E90</f>
        <v>0</v>
      </c>
      <c r="I90" s="22">
        <f>H90/G90</f>
        <v>0</v>
      </c>
      <c r="J90" s="2" t="s">
        <v>93</v>
      </c>
    </row>
    <row r="91" spans="1:10" ht="65.25" customHeight="1">
      <c r="A91" s="89"/>
      <c r="B91" s="89"/>
      <c r="C91" s="89"/>
      <c r="D91" s="5">
        <v>1533.2</v>
      </c>
      <c r="E91" s="5"/>
      <c r="F91" s="22">
        <f t="shared" si="15"/>
        <v>0</v>
      </c>
      <c r="G91" s="6">
        <f>D91</f>
        <v>1533.2</v>
      </c>
      <c r="H91" s="6">
        <f>E91</f>
        <v>0</v>
      </c>
      <c r="I91" s="22">
        <f>H91/G91</f>
        <v>0</v>
      </c>
      <c r="J91" s="2" t="s">
        <v>94</v>
      </c>
    </row>
    <row r="92" spans="1:10" ht="16.5" customHeight="1">
      <c r="A92" s="86" t="s">
        <v>41</v>
      </c>
      <c r="B92" s="86"/>
      <c r="C92" s="17" t="s">
        <v>36</v>
      </c>
      <c r="D92" s="7" t="e">
        <f>D14+D25+D35+D61+D78+D89</f>
        <v>#REF!</v>
      </c>
      <c r="E92" s="7">
        <f>E14+E25+E35+E61+E78+E89</f>
        <v>40245.846000000005</v>
      </c>
      <c r="F92" s="18">
        <f t="shared" si="15"/>
        <v>0.2257749063240281</v>
      </c>
      <c r="G92" s="7" t="e">
        <f>G14+G25+G35+G61+G78+G89</f>
        <v>#REF!</v>
      </c>
      <c r="H92" s="7">
        <f>H14+H25+H35+H61+H78+H89</f>
        <v>7525.39809</v>
      </c>
      <c r="I92" s="18" t="e">
        <f t="shared" si="16"/>
        <v>#REF!</v>
      </c>
      <c r="J92" s="20"/>
    </row>
    <row r="93" spans="1:10" ht="47.25">
      <c r="A93" s="86"/>
      <c r="B93" s="86"/>
      <c r="C93" s="14" t="s">
        <v>37</v>
      </c>
      <c r="D93" s="7">
        <f>D15+D26+D36+D62+D79</f>
        <v>1906.9</v>
      </c>
      <c r="E93" s="7">
        <f>E15+E26+E36+E62+E79</f>
        <v>0</v>
      </c>
      <c r="F93" s="18">
        <f t="shared" si="15"/>
        <v>0</v>
      </c>
      <c r="G93" s="7">
        <f>G15+G26+G36+G62+G79</f>
        <v>1906.9</v>
      </c>
      <c r="H93" s="7">
        <f>H15+H26+H36+H62+H79</f>
        <v>0</v>
      </c>
      <c r="I93" s="18">
        <f t="shared" si="16"/>
        <v>0</v>
      </c>
      <c r="J93" s="20"/>
    </row>
    <row r="94" spans="1:10" ht="47.25">
      <c r="A94" s="86"/>
      <c r="B94" s="86"/>
      <c r="C94" s="14" t="s">
        <v>38</v>
      </c>
      <c r="D94" s="7" t="e">
        <f>D16+D27+D38+D63+D80</f>
        <v>#REF!</v>
      </c>
      <c r="E94" s="7">
        <f>E16+E27+E38+E63+E80</f>
        <v>0</v>
      </c>
      <c r="F94" s="18">
        <f t="shared" si="15"/>
        <v>0</v>
      </c>
      <c r="G94" s="7" t="e">
        <f>G16+G27+G38+G63+G80</f>
        <v>#REF!</v>
      </c>
      <c r="H94" s="7">
        <f>H16+H27+H38+H63+H80</f>
        <v>0</v>
      </c>
      <c r="I94" s="18">
        <f t="shared" si="16"/>
        <v>0</v>
      </c>
      <c r="J94" s="20"/>
    </row>
    <row r="95" spans="1:10" ht="31.5">
      <c r="A95" s="86"/>
      <c r="B95" s="86"/>
      <c r="C95" s="14" t="s">
        <v>39</v>
      </c>
      <c r="D95" s="7">
        <f>D17+D28+D42+D68+D81</f>
        <v>0</v>
      </c>
      <c r="E95" s="7">
        <f>E17+E28+E42+E68+E81</f>
        <v>0</v>
      </c>
      <c r="F95" s="18"/>
      <c r="G95" s="7">
        <f>G17+G28+G42+G68+G81</f>
        <v>0</v>
      </c>
      <c r="H95" s="7">
        <f>H17+H28+H42+H68+H81</f>
        <v>0</v>
      </c>
      <c r="I95" s="18"/>
      <c r="J95" s="20"/>
    </row>
    <row r="96" spans="1:10" ht="31.5">
      <c r="A96" s="86"/>
      <c r="B96" s="86"/>
      <c r="C96" s="14" t="s">
        <v>45</v>
      </c>
      <c r="D96" s="7">
        <f>D18+D29+D43+D44+D69+D82</f>
        <v>287.06600000000003</v>
      </c>
      <c r="E96" s="7">
        <f>E18+E29+E43+E44+E69+E82</f>
        <v>0</v>
      </c>
      <c r="F96" s="18">
        <f t="shared" si="15"/>
        <v>0</v>
      </c>
      <c r="G96" s="7">
        <f>G18+G29+G43+G44+G69+G82</f>
        <v>287.06600000000003</v>
      </c>
      <c r="H96" s="7">
        <f>H18+H29+H43+H44+H69+H82</f>
        <v>0</v>
      </c>
      <c r="I96" s="18">
        <f t="shared" si="16"/>
        <v>0</v>
      </c>
      <c r="J96" s="20"/>
    </row>
    <row r="97" spans="1:10" ht="47.25">
      <c r="A97" s="86"/>
      <c r="B97" s="86"/>
      <c r="C97" s="30" t="s">
        <v>40</v>
      </c>
      <c r="D97" s="7">
        <f>D19+D30+D45+D70+D83+D89</f>
        <v>29918.4</v>
      </c>
      <c r="E97" s="7">
        <f>E19+E30+E45+E70+E83+E89</f>
        <v>7525.39809</v>
      </c>
      <c r="F97" s="18">
        <f t="shared" si="15"/>
        <v>0.2515307666853842</v>
      </c>
      <c r="G97" s="7">
        <f>G19+G30+G45+G70+G83+G89</f>
        <v>29918.4</v>
      </c>
      <c r="H97" s="7">
        <f>H19+H30+H45+H70+H83+H89</f>
        <v>7525.39809</v>
      </c>
      <c r="I97" s="18">
        <f t="shared" si="16"/>
        <v>0.2515307666853842</v>
      </c>
      <c r="J97" s="20"/>
    </row>
    <row r="99" ht="12.75">
      <c r="A99" s="1" t="s">
        <v>58</v>
      </c>
    </row>
    <row r="100" ht="12.75">
      <c r="A100" s="1" t="s">
        <v>59</v>
      </c>
    </row>
  </sheetData>
  <sheetProtection/>
  <mergeCells count="34">
    <mergeCell ref="B89:B91"/>
    <mergeCell ref="C89:C91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35:A60"/>
    <mergeCell ref="B35:B60"/>
    <mergeCell ref="C36:C37"/>
    <mergeCell ref="C38:C41"/>
    <mergeCell ref="C43:C44"/>
    <mergeCell ref="C45:C60"/>
    <mergeCell ref="A92:A97"/>
    <mergeCell ref="B92:B97"/>
    <mergeCell ref="A61:A77"/>
    <mergeCell ref="B61:B77"/>
    <mergeCell ref="C63:C67"/>
    <mergeCell ref="C70:C77"/>
    <mergeCell ref="A78:A88"/>
    <mergeCell ref="B78:B88"/>
    <mergeCell ref="C83:C88"/>
    <mergeCell ref="A89:A91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41">
      <selection activeCell="H50" sqref="H50"/>
    </sheetView>
  </sheetViews>
  <sheetFormatPr defaultColWidth="9.00390625" defaultRowHeight="12.75" outlineLevelRow="1"/>
  <cols>
    <col min="1" max="2" width="15.25390625" style="1" customWidth="1"/>
    <col min="3" max="3" width="23.875" style="1" customWidth="1"/>
    <col min="4" max="4" width="15.375" style="54" customWidth="1"/>
    <col min="5" max="5" width="13.625" style="1" customWidth="1"/>
    <col min="6" max="6" width="10.125" style="1" customWidth="1"/>
    <col min="7" max="7" width="14.875" style="54" customWidth="1"/>
    <col min="8" max="8" width="14.00390625" style="11" customWidth="1"/>
    <col min="9" max="9" width="10.875" style="1" customWidth="1"/>
    <col min="10" max="10" width="42.125" style="1" customWidth="1"/>
    <col min="11" max="11" width="9.125" style="1" customWidth="1"/>
    <col min="12" max="12" width="10.625" style="1" bestFit="1" customWidth="1"/>
    <col min="13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95</v>
      </c>
    </row>
    <row r="4" spans="3:10" ht="15.75" customHeight="1">
      <c r="C4" s="100" t="s">
        <v>53</v>
      </c>
      <c r="D4" s="100"/>
      <c r="E4" s="100"/>
      <c r="F4" s="100"/>
      <c r="G4" s="100"/>
      <c r="H4" s="100"/>
      <c r="I4" s="100"/>
      <c r="J4" s="100"/>
    </row>
    <row r="5" spans="3:10" ht="30" customHeight="1">
      <c r="C5" s="101" t="s">
        <v>48</v>
      </c>
      <c r="D5" s="101"/>
      <c r="E5" s="101"/>
      <c r="F5" s="101"/>
      <c r="G5" s="101"/>
      <c r="H5" s="101"/>
      <c r="I5" s="101"/>
      <c r="J5" s="101"/>
    </row>
    <row r="6" spans="1:10" ht="15.75">
      <c r="A6" s="102" t="s">
        <v>97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48.75" customHeight="1">
      <c r="A7" s="103" t="s">
        <v>109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2.75">
      <c r="A8" s="104" t="s">
        <v>31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119" t="s">
        <v>32</v>
      </c>
      <c r="B11" s="120" t="s">
        <v>16</v>
      </c>
      <c r="C11" s="122" t="s">
        <v>33</v>
      </c>
      <c r="D11" s="123" t="s">
        <v>96</v>
      </c>
      <c r="E11" s="124"/>
      <c r="F11" s="125"/>
      <c r="G11" s="126" t="s">
        <v>68</v>
      </c>
      <c r="H11" s="126"/>
      <c r="I11" s="126"/>
      <c r="J11" s="126"/>
    </row>
    <row r="12" spans="1:10" ht="66.75" customHeight="1">
      <c r="A12" s="119"/>
      <c r="B12" s="121"/>
      <c r="C12" s="122"/>
      <c r="D12" s="56" t="s">
        <v>76</v>
      </c>
      <c r="E12" s="53" t="s">
        <v>35</v>
      </c>
      <c r="F12" s="52" t="s">
        <v>34</v>
      </c>
      <c r="G12" s="56" t="s">
        <v>76</v>
      </c>
      <c r="H12" s="53" t="s">
        <v>35</v>
      </c>
      <c r="I12" s="52" t="s">
        <v>34</v>
      </c>
      <c r="J12" s="52" t="s">
        <v>54</v>
      </c>
    </row>
    <row r="13" spans="1:10" ht="15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</row>
    <row r="14" spans="1:10" ht="15.75">
      <c r="A14" s="112" t="s">
        <v>75</v>
      </c>
      <c r="B14" s="112" t="s">
        <v>17</v>
      </c>
      <c r="C14" s="38" t="s">
        <v>36</v>
      </c>
      <c r="D14" s="36">
        <f>SUM(D15:D19)</f>
        <v>995</v>
      </c>
      <c r="E14" s="36">
        <f>SUM(E15:E19)</f>
        <v>129.3</v>
      </c>
      <c r="F14" s="34">
        <f>E14/D14</f>
        <v>0.1299497487437186</v>
      </c>
      <c r="G14" s="36">
        <f>SUM(G15:G19)</f>
        <v>995</v>
      </c>
      <c r="H14" s="36">
        <f>SUM(H15:H19)</f>
        <v>215.389</v>
      </c>
      <c r="I14" s="37">
        <f>I15+I16+I17+I19</f>
        <v>0.2164713567839196</v>
      </c>
      <c r="J14" s="35"/>
    </row>
    <row r="15" spans="1:10" ht="24">
      <c r="A15" s="112"/>
      <c r="B15" s="112"/>
      <c r="C15" s="39" t="s">
        <v>37</v>
      </c>
      <c r="D15" s="5"/>
      <c r="E15" s="5"/>
      <c r="F15" s="31"/>
      <c r="G15" s="5"/>
      <c r="H15" s="5"/>
      <c r="I15" s="22"/>
      <c r="J15" s="20"/>
    </row>
    <row r="16" spans="1:10" ht="24">
      <c r="A16" s="112"/>
      <c r="B16" s="112"/>
      <c r="C16" s="39" t="s">
        <v>38</v>
      </c>
      <c r="D16" s="5"/>
      <c r="E16" s="5"/>
      <c r="F16" s="31"/>
      <c r="G16" s="5"/>
      <c r="H16" s="5"/>
      <c r="I16" s="22"/>
      <c r="J16" s="43"/>
    </row>
    <row r="17" spans="1:10" ht="18.75" customHeight="1">
      <c r="A17" s="112"/>
      <c r="B17" s="112"/>
      <c r="C17" s="39" t="s">
        <v>39</v>
      </c>
      <c r="D17" s="5"/>
      <c r="E17" s="5"/>
      <c r="F17" s="31"/>
      <c r="G17" s="5"/>
      <c r="H17" s="5"/>
      <c r="I17" s="22"/>
      <c r="J17" s="43"/>
    </row>
    <row r="18" spans="1:10" ht="18.75" customHeight="1">
      <c r="A18" s="112"/>
      <c r="B18" s="112"/>
      <c r="C18" s="39" t="s">
        <v>45</v>
      </c>
      <c r="D18" s="5"/>
      <c r="E18" s="5"/>
      <c r="F18" s="31"/>
      <c r="G18" s="5"/>
      <c r="H18" s="5"/>
      <c r="I18" s="22"/>
      <c r="J18" s="43"/>
    </row>
    <row r="19" spans="1:10" ht="52.5" customHeight="1">
      <c r="A19" s="112"/>
      <c r="B19" s="112"/>
      <c r="C19" s="118" t="s">
        <v>40</v>
      </c>
      <c r="D19" s="8">
        <f>SUM(D20:D24)</f>
        <v>995</v>
      </c>
      <c r="E19" s="8">
        <f>SUM(E20:E24)</f>
        <v>129.3</v>
      </c>
      <c r="F19" s="18">
        <f aca="true" t="shared" si="0" ref="F19:F25">E19/D19</f>
        <v>0.1299497487437186</v>
      </c>
      <c r="G19" s="8">
        <f>SUM(G20:G24)</f>
        <v>995</v>
      </c>
      <c r="H19" s="8">
        <f>SUM(H20:H24)</f>
        <v>215.389</v>
      </c>
      <c r="I19" s="18">
        <f aca="true" t="shared" si="1" ref="I19:I25">H19/G19</f>
        <v>0.2164713567839196</v>
      </c>
      <c r="J19" s="44" t="s">
        <v>25</v>
      </c>
    </row>
    <row r="20" spans="1:10" ht="22.5">
      <c r="A20" s="112"/>
      <c r="B20" s="112"/>
      <c r="C20" s="118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45" t="s">
        <v>60</v>
      </c>
    </row>
    <row r="21" spans="1:10" ht="22.5">
      <c r="A21" s="112"/>
      <c r="B21" s="112"/>
      <c r="C21" s="118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45" t="s">
        <v>61</v>
      </c>
    </row>
    <row r="22" spans="1:10" ht="22.5">
      <c r="A22" s="112"/>
      <c r="B22" s="112"/>
      <c r="C22" s="118"/>
      <c r="D22" s="5">
        <v>300</v>
      </c>
      <c r="E22" s="5">
        <f>11.8+52.5</f>
        <v>64.3</v>
      </c>
      <c r="F22" s="22">
        <f t="shared" si="0"/>
        <v>0.21433333333333332</v>
      </c>
      <c r="G22" s="6">
        <f t="shared" si="2"/>
        <v>300</v>
      </c>
      <c r="H22" s="6">
        <v>127.389</v>
      </c>
      <c r="I22" s="22">
        <f t="shared" si="1"/>
        <v>0.42463</v>
      </c>
      <c r="J22" s="46" t="s">
        <v>0</v>
      </c>
    </row>
    <row r="23" spans="1:10" ht="22.5">
      <c r="A23" s="112"/>
      <c r="B23" s="112"/>
      <c r="C23" s="118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46" t="s">
        <v>77</v>
      </c>
    </row>
    <row r="24" spans="1:10" ht="15.75">
      <c r="A24" s="112"/>
      <c r="B24" s="112"/>
      <c r="C24" s="118"/>
      <c r="D24" s="5">
        <v>315</v>
      </c>
      <c r="E24" s="5">
        <v>65</v>
      </c>
      <c r="F24" s="22">
        <f t="shared" si="0"/>
        <v>0.20634920634920634</v>
      </c>
      <c r="G24" s="6">
        <f t="shared" si="2"/>
        <v>315</v>
      </c>
      <c r="H24" s="6">
        <v>88</v>
      </c>
      <c r="I24" s="22">
        <f t="shared" si="1"/>
        <v>0.27936507936507937</v>
      </c>
      <c r="J24" s="46" t="s">
        <v>1</v>
      </c>
    </row>
    <row r="25" spans="1:10" ht="21" customHeight="1">
      <c r="A25" s="112" t="s">
        <v>78</v>
      </c>
      <c r="B25" s="112" t="s">
        <v>18</v>
      </c>
      <c r="C25" s="38" t="s">
        <v>36</v>
      </c>
      <c r="D25" s="36">
        <f>SUM(D26:D30)</f>
        <v>160</v>
      </c>
      <c r="E25" s="36">
        <f>SUM(E26:E30)</f>
        <v>0</v>
      </c>
      <c r="F25" s="34">
        <f t="shared" si="0"/>
        <v>0</v>
      </c>
      <c r="G25" s="36">
        <f>SUM(G26:G30)</f>
        <v>160</v>
      </c>
      <c r="H25" s="36">
        <f>SUM(H26:H30)</f>
        <v>0</v>
      </c>
      <c r="I25" s="34">
        <f t="shared" si="1"/>
        <v>0</v>
      </c>
      <c r="J25" s="47"/>
    </row>
    <row r="26" spans="1:10" ht="20.25" customHeight="1">
      <c r="A26" s="112"/>
      <c r="B26" s="112"/>
      <c r="C26" s="39" t="s">
        <v>37</v>
      </c>
      <c r="D26" s="5"/>
      <c r="E26" s="5"/>
      <c r="F26" s="31"/>
      <c r="G26" s="7"/>
      <c r="H26" s="7"/>
      <c r="I26" s="18"/>
      <c r="J26" s="48"/>
    </row>
    <row r="27" spans="1:10" ht="24">
      <c r="A27" s="112"/>
      <c r="B27" s="112"/>
      <c r="C27" s="40" t="s">
        <v>62</v>
      </c>
      <c r="D27" s="5"/>
      <c r="E27" s="5"/>
      <c r="F27" s="32"/>
      <c r="G27" s="6"/>
      <c r="H27" s="6"/>
      <c r="I27" s="22"/>
      <c r="J27" s="46"/>
    </row>
    <row r="28" spans="1:10" ht="15.75">
      <c r="A28" s="112"/>
      <c r="B28" s="112"/>
      <c r="C28" s="39" t="s">
        <v>39</v>
      </c>
      <c r="D28" s="5"/>
      <c r="E28" s="5"/>
      <c r="F28" s="31"/>
      <c r="G28" s="5"/>
      <c r="H28" s="5"/>
      <c r="I28" s="27"/>
      <c r="J28" s="43"/>
    </row>
    <row r="29" spans="1:10" ht="15.75">
      <c r="A29" s="112"/>
      <c r="B29" s="112"/>
      <c r="C29" s="39" t="s">
        <v>45</v>
      </c>
      <c r="D29" s="5"/>
      <c r="E29" s="5"/>
      <c r="F29" s="31"/>
      <c r="G29" s="5"/>
      <c r="H29" s="5"/>
      <c r="I29" s="27"/>
      <c r="J29" s="43"/>
    </row>
    <row r="30" spans="1:10" ht="67.5">
      <c r="A30" s="112"/>
      <c r="B30" s="112"/>
      <c r="C30" s="112" t="s">
        <v>40</v>
      </c>
      <c r="D30" s="8">
        <f>SUM(D31:D34)</f>
        <v>160</v>
      </c>
      <c r="E30" s="8">
        <f>SUM(E31:E34)</f>
        <v>0</v>
      </c>
      <c r="F30" s="18">
        <f aca="true" t="shared" si="3" ref="F30:F63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2">H30/G30</f>
        <v>0</v>
      </c>
      <c r="J30" s="48" t="s">
        <v>44</v>
      </c>
    </row>
    <row r="31" spans="1:10" ht="15.75">
      <c r="A31" s="112"/>
      <c r="B31" s="112"/>
      <c r="C31" s="112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46" t="s">
        <v>2</v>
      </c>
    </row>
    <row r="32" spans="1:10" ht="33.75">
      <c r="A32" s="112"/>
      <c r="B32" s="112"/>
      <c r="C32" s="112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46" t="s">
        <v>3</v>
      </c>
    </row>
    <row r="33" spans="1:10" ht="22.5">
      <c r="A33" s="112"/>
      <c r="B33" s="112"/>
      <c r="C33" s="112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46" t="s">
        <v>4</v>
      </c>
    </row>
    <row r="34" spans="1:10" ht="15.75">
      <c r="A34" s="112"/>
      <c r="B34" s="112"/>
      <c r="C34" s="112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46" t="s">
        <v>5</v>
      </c>
    </row>
    <row r="35" spans="1:10" ht="21.75" customHeight="1">
      <c r="A35" s="112" t="s">
        <v>79</v>
      </c>
      <c r="B35" s="112" t="s">
        <v>19</v>
      </c>
      <c r="C35" s="38" t="s">
        <v>36</v>
      </c>
      <c r="D35" s="33">
        <f>D36+D38+D43+D44+D45+D46</f>
        <v>22379.39752</v>
      </c>
      <c r="E35" s="33">
        <f>E36+E38+E43+E44+E45+E46</f>
        <v>3126.3233299999997</v>
      </c>
      <c r="F35" s="34">
        <f t="shared" si="3"/>
        <v>0.1396964921511435</v>
      </c>
      <c r="G35" s="33">
        <f>G36+G38+G43+G44+G45+G46</f>
        <v>22379.39752</v>
      </c>
      <c r="H35" s="33">
        <f>H36+H38+H43+H44+H45+H46</f>
        <v>4067.646419999999</v>
      </c>
      <c r="I35" s="34">
        <f t="shared" si="4"/>
        <v>0.18175853109382542</v>
      </c>
      <c r="J35" s="47"/>
    </row>
    <row r="36" spans="1:10" ht="24.75" customHeight="1" hidden="1">
      <c r="A36" s="112"/>
      <c r="B36" s="112"/>
      <c r="C36" s="113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43"/>
    </row>
    <row r="37" spans="1:10" ht="15.75" hidden="1">
      <c r="A37" s="112"/>
      <c r="B37" s="112"/>
      <c r="C37" s="114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48"/>
    </row>
    <row r="38" spans="1:10" ht="24.75" customHeight="1">
      <c r="A38" s="112"/>
      <c r="B38" s="112"/>
      <c r="C38" s="115" t="s">
        <v>38</v>
      </c>
      <c r="D38" s="7">
        <f>SUM(D39:D42)</f>
        <v>2220.7</v>
      </c>
      <c r="E38" s="7">
        <f>SUM(E39:E42)</f>
        <v>112.94</v>
      </c>
      <c r="F38" s="18">
        <f t="shared" si="3"/>
        <v>0.05085783761876886</v>
      </c>
      <c r="G38" s="7">
        <f>SUM(G39:G42)</f>
        <v>2220.7</v>
      </c>
      <c r="H38" s="7">
        <f>SUM(H39:H42)</f>
        <v>112.94</v>
      </c>
      <c r="I38" s="18">
        <f t="shared" si="4"/>
        <v>0.05085783761876886</v>
      </c>
      <c r="J38" s="43"/>
    </row>
    <row r="39" spans="1:10" ht="57.75" customHeight="1">
      <c r="A39" s="112"/>
      <c r="B39" s="112"/>
      <c r="C39" s="116"/>
      <c r="D39" s="5">
        <v>484.9</v>
      </c>
      <c r="E39" s="5">
        <v>0</v>
      </c>
      <c r="F39" s="22">
        <f t="shared" si="3"/>
        <v>0</v>
      </c>
      <c r="G39" s="6">
        <f aca="true" t="shared" si="6" ref="G39:H45">D39</f>
        <v>484.9</v>
      </c>
      <c r="H39" s="6">
        <f t="shared" si="6"/>
        <v>0</v>
      </c>
      <c r="I39" s="22">
        <f t="shared" si="4"/>
        <v>0</v>
      </c>
      <c r="J39" s="49" t="s">
        <v>99</v>
      </c>
    </row>
    <row r="40" spans="1:10" ht="90">
      <c r="A40" s="112"/>
      <c r="B40" s="112"/>
      <c r="C40" s="116"/>
      <c r="D40" s="5">
        <f>208.86+112.94</f>
        <v>321.8</v>
      </c>
      <c r="E40" s="5">
        <v>112.94</v>
      </c>
      <c r="F40" s="22">
        <f t="shared" si="3"/>
        <v>0.3509633312616532</v>
      </c>
      <c r="G40" s="6">
        <f t="shared" si="6"/>
        <v>321.8</v>
      </c>
      <c r="H40" s="6">
        <f t="shared" si="6"/>
        <v>112.94</v>
      </c>
      <c r="I40" s="22">
        <f t="shared" si="4"/>
        <v>0.3509633312616532</v>
      </c>
      <c r="J40" s="49" t="s">
        <v>83</v>
      </c>
    </row>
    <row r="41" spans="1:10" ht="38.25" customHeight="1">
      <c r="A41" s="112"/>
      <c r="B41" s="112"/>
      <c r="C41" s="116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46" t="s">
        <v>84</v>
      </c>
    </row>
    <row r="42" spans="1:10" ht="51" customHeight="1">
      <c r="A42" s="112"/>
      <c r="B42" s="112"/>
      <c r="C42" s="41"/>
      <c r="D42" s="5">
        <v>1064</v>
      </c>
      <c r="E42" s="5"/>
      <c r="F42" s="22">
        <f t="shared" si="3"/>
        <v>0</v>
      </c>
      <c r="G42" s="6">
        <f t="shared" si="6"/>
        <v>1064</v>
      </c>
      <c r="H42" s="6"/>
      <c r="I42" s="22">
        <f t="shared" si="4"/>
        <v>0</v>
      </c>
      <c r="J42" s="46" t="s">
        <v>100</v>
      </c>
    </row>
    <row r="43" spans="1:10" ht="108.75" customHeight="1" hidden="1" outlineLevel="1">
      <c r="A43" s="112"/>
      <c r="B43" s="112"/>
      <c r="C43" s="39" t="s">
        <v>39</v>
      </c>
      <c r="D43" s="5">
        <v>0</v>
      </c>
      <c r="E43" s="5">
        <v>0</v>
      </c>
      <c r="F43" s="22" t="e">
        <f t="shared" si="3"/>
        <v>#DIV/0!</v>
      </c>
      <c r="G43" s="6">
        <f t="shared" si="6"/>
        <v>0</v>
      </c>
      <c r="H43" s="6">
        <f t="shared" si="6"/>
        <v>0</v>
      </c>
      <c r="I43" s="22" t="e">
        <f>H43/G43</f>
        <v>#DIV/0!</v>
      </c>
      <c r="J43" s="46"/>
    </row>
    <row r="44" spans="1:10" ht="19.5" customHeight="1" collapsed="1">
      <c r="A44" s="112"/>
      <c r="B44" s="112"/>
      <c r="C44" s="109" t="s">
        <v>45</v>
      </c>
      <c r="D44" s="5">
        <v>0</v>
      </c>
      <c r="E44" s="5">
        <v>0</v>
      </c>
      <c r="F44" s="22"/>
      <c r="G44" s="6">
        <f t="shared" si="6"/>
        <v>0</v>
      </c>
      <c r="H44" s="6">
        <f t="shared" si="6"/>
        <v>0</v>
      </c>
      <c r="I44" s="22"/>
      <c r="J44" s="45"/>
    </row>
    <row r="45" spans="1:10" ht="48" customHeight="1" hidden="1">
      <c r="A45" s="112"/>
      <c r="B45" s="112"/>
      <c r="C45" s="117"/>
      <c r="D45" s="5">
        <v>0</v>
      </c>
      <c r="E45" s="5">
        <v>0</v>
      </c>
      <c r="F45" s="22" t="e">
        <f t="shared" si="3"/>
        <v>#DIV/0!</v>
      </c>
      <c r="G45" s="6">
        <f t="shared" si="6"/>
        <v>0</v>
      </c>
      <c r="H45" s="6">
        <f t="shared" si="6"/>
        <v>0</v>
      </c>
      <c r="I45" s="22" t="e">
        <f>H45/G45</f>
        <v>#DIV/0!</v>
      </c>
      <c r="J45" s="45"/>
    </row>
    <row r="46" spans="1:10" ht="136.5" customHeight="1">
      <c r="A46" s="112"/>
      <c r="B46" s="112"/>
      <c r="C46" s="109" t="s">
        <v>40</v>
      </c>
      <c r="D46" s="8">
        <f>SUM(D47:D63)</f>
        <v>20158.697519999998</v>
      </c>
      <c r="E46" s="8">
        <f>SUM(E47:E63)</f>
        <v>3013.3833299999997</v>
      </c>
      <c r="F46" s="18">
        <f>E46/D46</f>
        <v>0.1494830371362207</v>
      </c>
      <c r="G46" s="8">
        <f>SUM(G47:G63)</f>
        <v>20158.697519999998</v>
      </c>
      <c r="H46" s="8">
        <f>SUM(H47:H63)</f>
        <v>3954.706419999999</v>
      </c>
      <c r="I46" s="18">
        <f aca="true" t="shared" si="7" ref="I46:I83">H46/G46</f>
        <v>0.1961786675987586</v>
      </c>
      <c r="J46" s="44" t="s">
        <v>20</v>
      </c>
    </row>
    <row r="47" spans="1:10" ht="33.75">
      <c r="A47" s="112"/>
      <c r="B47" s="112"/>
      <c r="C47" s="110"/>
      <c r="D47" s="5">
        <v>700</v>
      </c>
      <c r="E47" s="5">
        <f>157.5+99.75</f>
        <v>257.25</v>
      </c>
      <c r="F47" s="22">
        <f t="shared" si="3"/>
        <v>0.3675</v>
      </c>
      <c r="G47" s="6">
        <f aca="true" t="shared" si="8" ref="G47:H63">D47</f>
        <v>700</v>
      </c>
      <c r="H47" s="6">
        <v>391.29082</v>
      </c>
      <c r="I47" s="22">
        <f t="shared" si="7"/>
        <v>0.5589868857142857</v>
      </c>
      <c r="J47" s="46" t="s">
        <v>49</v>
      </c>
    </row>
    <row r="48" spans="1:10" ht="22.5">
      <c r="A48" s="112"/>
      <c r="B48" s="112"/>
      <c r="C48" s="110"/>
      <c r="D48" s="5">
        <v>150</v>
      </c>
      <c r="E48" s="5">
        <v>0</v>
      </c>
      <c r="F48" s="22">
        <f t="shared" si="3"/>
        <v>0</v>
      </c>
      <c r="G48" s="6">
        <f t="shared" si="8"/>
        <v>150</v>
      </c>
      <c r="H48" s="6">
        <f t="shared" si="8"/>
        <v>0</v>
      </c>
      <c r="I48" s="22">
        <f t="shared" si="7"/>
        <v>0</v>
      </c>
      <c r="J48" s="46" t="s">
        <v>12</v>
      </c>
    </row>
    <row r="49" spans="1:10" ht="22.5">
      <c r="A49" s="112"/>
      <c r="B49" s="112"/>
      <c r="C49" s="110"/>
      <c r="D49" s="5">
        <v>3300.72594</v>
      </c>
      <c r="E49" s="5">
        <v>165.24</v>
      </c>
      <c r="F49" s="22">
        <f t="shared" si="3"/>
        <v>0.05006171460572701</v>
      </c>
      <c r="G49" s="6">
        <f t="shared" si="8"/>
        <v>3300.72594</v>
      </c>
      <c r="H49" s="6">
        <v>165.24</v>
      </c>
      <c r="I49" s="22">
        <f t="shared" si="7"/>
        <v>0.05006171460572701</v>
      </c>
      <c r="J49" s="46" t="s">
        <v>50</v>
      </c>
    </row>
    <row r="50" spans="1:10" ht="78.75">
      <c r="A50" s="112"/>
      <c r="B50" s="112"/>
      <c r="C50" s="110"/>
      <c r="D50" s="5">
        <v>130.55</v>
      </c>
      <c r="E50" s="5">
        <v>41.06</v>
      </c>
      <c r="F50" s="22">
        <f t="shared" si="3"/>
        <v>0.3145155112983531</v>
      </c>
      <c r="G50" s="6">
        <f t="shared" si="8"/>
        <v>130.55</v>
      </c>
      <c r="H50" s="6">
        <f t="shared" si="8"/>
        <v>41.06</v>
      </c>
      <c r="I50" s="22">
        <f t="shared" si="7"/>
        <v>0.3145155112983531</v>
      </c>
      <c r="J50" s="49" t="s">
        <v>85</v>
      </c>
    </row>
    <row r="51" spans="1:10" ht="56.25">
      <c r="A51" s="112"/>
      <c r="B51" s="112"/>
      <c r="C51" s="110"/>
      <c r="D51" s="5">
        <v>0</v>
      </c>
      <c r="E51" s="5">
        <v>0</v>
      </c>
      <c r="F51" s="22" t="e">
        <f t="shared" si="3"/>
        <v>#DIV/0!</v>
      </c>
      <c r="G51" s="6">
        <f t="shared" si="8"/>
        <v>0</v>
      </c>
      <c r="H51" s="6">
        <f t="shared" si="8"/>
        <v>0</v>
      </c>
      <c r="I51" s="22" t="e">
        <f t="shared" si="7"/>
        <v>#DIV/0!</v>
      </c>
      <c r="J51" s="46" t="s">
        <v>82</v>
      </c>
    </row>
    <row r="52" spans="1:10" ht="56.25">
      <c r="A52" s="112"/>
      <c r="B52" s="112"/>
      <c r="C52" s="110"/>
      <c r="D52" s="5">
        <v>1000.634</v>
      </c>
      <c r="E52" s="5"/>
      <c r="F52" s="22">
        <f t="shared" si="3"/>
        <v>0</v>
      </c>
      <c r="G52" s="6">
        <f t="shared" si="8"/>
        <v>1000.634</v>
      </c>
      <c r="H52" s="6"/>
      <c r="I52" s="22">
        <f t="shared" si="7"/>
        <v>0</v>
      </c>
      <c r="J52" s="46" t="s">
        <v>103</v>
      </c>
    </row>
    <row r="53" spans="1:10" ht="45">
      <c r="A53" s="112"/>
      <c r="B53" s="112"/>
      <c r="C53" s="110"/>
      <c r="D53" s="5">
        <v>581.03806</v>
      </c>
      <c r="E53" s="5"/>
      <c r="F53" s="22">
        <f t="shared" si="3"/>
        <v>0</v>
      </c>
      <c r="G53" s="6">
        <f t="shared" si="8"/>
        <v>581.03806</v>
      </c>
      <c r="H53" s="6"/>
      <c r="I53" s="22">
        <f t="shared" si="7"/>
        <v>0</v>
      </c>
      <c r="J53" s="46" t="s">
        <v>102</v>
      </c>
    </row>
    <row r="54" spans="1:10" ht="15.75">
      <c r="A54" s="112"/>
      <c r="B54" s="112"/>
      <c r="C54" s="110"/>
      <c r="D54" s="5">
        <v>250</v>
      </c>
      <c r="E54" s="5">
        <f>14.8455+2.43534+12.269</f>
        <v>29.549839999999996</v>
      </c>
      <c r="F54" s="22">
        <f t="shared" si="3"/>
        <v>0.11819935999999999</v>
      </c>
      <c r="G54" s="6">
        <f t="shared" si="8"/>
        <v>250</v>
      </c>
      <c r="H54" s="6">
        <v>35.98146</v>
      </c>
      <c r="I54" s="22">
        <f t="shared" si="7"/>
        <v>0.14392584</v>
      </c>
      <c r="J54" s="46" t="s">
        <v>6</v>
      </c>
    </row>
    <row r="55" spans="1:10" ht="22.5">
      <c r="A55" s="112"/>
      <c r="B55" s="112"/>
      <c r="C55" s="110"/>
      <c r="D55" s="5">
        <v>840</v>
      </c>
      <c r="E55" s="5">
        <v>333.33965</v>
      </c>
      <c r="F55" s="22">
        <f t="shared" si="3"/>
        <v>0.39683291666666665</v>
      </c>
      <c r="G55" s="6">
        <f t="shared" si="8"/>
        <v>840</v>
      </c>
      <c r="H55" s="6">
        <v>333.33965</v>
      </c>
      <c r="I55" s="22">
        <f t="shared" si="7"/>
        <v>0.39683291666666665</v>
      </c>
      <c r="J55" s="46" t="s">
        <v>101</v>
      </c>
    </row>
    <row r="56" spans="1:10" ht="15.75">
      <c r="A56" s="112"/>
      <c r="B56" s="112"/>
      <c r="C56" s="110"/>
      <c r="D56" s="5">
        <v>150</v>
      </c>
      <c r="E56" s="5">
        <f>H56-9.51722</f>
        <v>14.275830000000001</v>
      </c>
      <c r="F56" s="22">
        <f t="shared" si="3"/>
        <v>0.09517220000000001</v>
      </c>
      <c r="G56" s="6">
        <f t="shared" si="8"/>
        <v>150</v>
      </c>
      <c r="H56" s="6">
        <v>23.79305</v>
      </c>
      <c r="I56" s="22">
        <f t="shared" si="7"/>
        <v>0.15862033333333334</v>
      </c>
      <c r="J56" s="46" t="s">
        <v>7</v>
      </c>
    </row>
    <row r="57" spans="1:10" ht="22.5">
      <c r="A57" s="112"/>
      <c r="B57" s="112"/>
      <c r="C57" s="110"/>
      <c r="D57" s="5">
        <v>2000</v>
      </c>
      <c r="E57" s="5">
        <f>H57-366.8096</f>
        <v>284.26768999999996</v>
      </c>
      <c r="F57" s="22">
        <f t="shared" si="3"/>
        <v>0.14213384499999998</v>
      </c>
      <c r="G57" s="6">
        <f t="shared" si="8"/>
        <v>2000</v>
      </c>
      <c r="H57" s="6">
        <v>651.07729</v>
      </c>
      <c r="I57" s="22">
        <f t="shared" si="7"/>
        <v>0.32553864499999996</v>
      </c>
      <c r="J57" s="46" t="s">
        <v>8</v>
      </c>
    </row>
    <row r="58" spans="1:10" ht="22.5">
      <c r="A58" s="112"/>
      <c r="B58" s="112"/>
      <c r="C58" s="110"/>
      <c r="D58" s="5">
        <v>100</v>
      </c>
      <c r="E58" s="5">
        <v>79.218</v>
      </c>
      <c r="F58" s="22">
        <f t="shared" si="3"/>
        <v>0.79218</v>
      </c>
      <c r="G58" s="6">
        <f t="shared" si="8"/>
        <v>100</v>
      </c>
      <c r="H58" s="6">
        <f t="shared" si="8"/>
        <v>79.218</v>
      </c>
      <c r="I58" s="22">
        <f t="shared" si="7"/>
        <v>0.79218</v>
      </c>
      <c r="J58" s="46" t="s">
        <v>9</v>
      </c>
    </row>
    <row r="59" spans="1:10" ht="22.5">
      <c r="A59" s="112"/>
      <c r="B59" s="112"/>
      <c r="C59" s="110"/>
      <c r="D59" s="5">
        <v>50</v>
      </c>
      <c r="E59" s="5">
        <v>0</v>
      </c>
      <c r="F59" s="22">
        <f t="shared" si="3"/>
        <v>0</v>
      </c>
      <c r="G59" s="6">
        <f t="shared" si="8"/>
        <v>50</v>
      </c>
      <c r="H59" s="6">
        <f t="shared" si="8"/>
        <v>0</v>
      </c>
      <c r="I59" s="22">
        <f t="shared" si="7"/>
        <v>0</v>
      </c>
      <c r="J59" s="46" t="s">
        <v>10</v>
      </c>
    </row>
    <row r="60" spans="1:10" ht="22.5">
      <c r="A60" s="112"/>
      <c r="B60" s="112"/>
      <c r="C60" s="110"/>
      <c r="D60" s="5">
        <v>10351.10112</v>
      </c>
      <c r="E60" s="5">
        <f>H60-324.55583</f>
        <v>1751.4623199999999</v>
      </c>
      <c r="F60" s="22">
        <f t="shared" si="3"/>
        <v>0.16920541106645087</v>
      </c>
      <c r="G60" s="6">
        <f t="shared" si="8"/>
        <v>10351.10112</v>
      </c>
      <c r="H60" s="6">
        <v>2076.01815</v>
      </c>
      <c r="I60" s="22">
        <f t="shared" si="7"/>
        <v>0.20056012649599156</v>
      </c>
      <c r="J60" s="46" t="s">
        <v>11</v>
      </c>
    </row>
    <row r="61" spans="1:10" ht="22.5">
      <c r="A61" s="112"/>
      <c r="B61" s="112"/>
      <c r="C61" s="110"/>
      <c r="D61" s="5">
        <v>54.6484</v>
      </c>
      <c r="E61" s="5">
        <v>26.72</v>
      </c>
      <c r="F61" s="22">
        <f t="shared" si="3"/>
        <v>0.4889438666090864</v>
      </c>
      <c r="G61" s="6">
        <f t="shared" si="8"/>
        <v>54.6484</v>
      </c>
      <c r="H61" s="6">
        <f t="shared" si="8"/>
        <v>26.72</v>
      </c>
      <c r="I61" s="22">
        <f>H61/G61</f>
        <v>0.4889438666090864</v>
      </c>
      <c r="J61" s="46" t="s">
        <v>67</v>
      </c>
    </row>
    <row r="62" spans="1:10" ht="22.5">
      <c r="A62" s="112"/>
      <c r="B62" s="112"/>
      <c r="C62" s="110"/>
      <c r="D62" s="5">
        <v>350</v>
      </c>
      <c r="E62" s="5">
        <f>H62-99.968</f>
        <v>30.999999999999986</v>
      </c>
      <c r="F62" s="22">
        <f t="shared" si="3"/>
        <v>0.08857142857142854</v>
      </c>
      <c r="G62" s="6">
        <f t="shared" si="8"/>
        <v>350</v>
      </c>
      <c r="H62" s="6">
        <v>130.968</v>
      </c>
      <c r="I62" s="22">
        <f>H62/G62</f>
        <v>0.3741942857142857</v>
      </c>
      <c r="J62" s="46" t="s">
        <v>24</v>
      </c>
    </row>
    <row r="63" spans="1:10" ht="33.75">
      <c r="A63" s="112"/>
      <c r="B63" s="112"/>
      <c r="C63" s="110"/>
      <c r="D63" s="5">
        <v>150</v>
      </c>
      <c r="E63" s="5">
        <v>0</v>
      </c>
      <c r="F63" s="22">
        <f t="shared" si="3"/>
        <v>0</v>
      </c>
      <c r="G63" s="6">
        <f t="shared" si="8"/>
        <v>150</v>
      </c>
      <c r="H63" s="6">
        <f t="shared" si="8"/>
        <v>0</v>
      </c>
      <c r="I63" s="22">
        <f>H63/G63</f>
        <v>0</v>
      </c>
      <c r="J63" s="46" t="s">
        <v>86</v>
      </c>
    </row>
    <row r="64" spans="1:10" ht="16.5" customHeight="1">
      <c r="A64" s="112" t="s">
        <v>80</v>
      </c>
      <c r="B64" s="112" t="s">
        <v>21</v>
      </c>
      <c r="C64" s="38" t="s">
        <v>36</v>
      </c>
      <c r="D64" s="33" t="e">
        <f>D65+D66+D71+D72+D73</f>
        <v>#REF!</v>
      </c>
      <c r="E64" s="33">
        <f>E65+E66+E71+E72+E73</f>
        <v>4817.911999999999</v>
      </c>
      <c r="F64" s="34" t="e">
        <f>E64/D64</f>
        <v>#REF!</v>
      </c>
      <c r="G64" s="33">
        <f>G65+G66+G71+G72+G73</f>
        <v>19724.28</v>
      </c>
      <c r="H64" s="33">
        <f>H65+H66+H71+H72+H73</f>
        <v>10767.898000000001</v>
      </c>
      <c r="I64" s="34">
        <f t="shared" si="7"/>
        <v>0.5459209664433886</v>
      </c>
      <c r="J64" s="47"/>
    </row>
    <row r="65" spans="1:10" ht="21.75" customHeight="1">
      <c r="A65" s="112"/>
      <c r="B65" s="112"/>
      <c r="C65" s="39" t="s">
        <v>37</v>
      </c>
      <c r="D65" s="5"/>
      <c r="E65" s="5"/>
      <c r="F65" s="27"/>
      <c r="G65" s="5"/>
      <c r="H65" s="5"/>
      <c r="I65" s="27"/>
      <c r="J65" s="43"/>
    </row>
    <row r="66" spans="1:10" ht="17.25" customHeight="1">
      <c r="A66" s="112"/>
      <c r="B66" s="112"/>
      <c r="C66" s="112" t="s">
        <v>38</v>
      </c>
      <c r="D66" s="7" t="e">
        <f>SUM(D67:D70)</f>
        <v>#REF!</v>
      </c>
      <c r="E66" s="7">
        <f>SUM(E67:E70)</f>
        <v>683.2800000000001</v>
      </c>
      <c r="F66" s="18" t="e">
        <f>E66/D66</f>
        <v>#REF!</v>
      </c>
      <c r="G66" s="7">
        <f>SUM(G67:G70)</f>
        <v>6376.780000000001</v>
      </c>
      <c r="H66" s="7">
        <f>SUM(H67:H70)</f>
        <v>683.2800000000001</v>
      </c>
      <c r="I66" s="18">
        <f t="shared" si="7"/>
        <v>0.10715125815850633</v>
      </c>
      <c r="J66" s="43"/>
    </row>
    <row r="67" spans="1:10" ht="74.25" customHeight="1">
      <c r="A67" s="112"/>
      <c r="B67" s="112"/>
      <c r="C67" s="112"/>
      <c r="D67" s="5">
        <v>2163.7</v>
      </c>
      <c r="E67" s="5">
        <v>626.33</v>
      </c>
      <c r="F67" s="22">
        <f>E67/D67</f>
        <v>0.28947173822618666</v>
      </c>
      <c r="G67" s="6">
        <f aca="true" t="shared" si="9" ref="G67:H70">D67</f>
        <v>2163.7</v>
      </c>
      <c r="H67" s="6">
        <f t="shared" si="9"/>
        <v>626.33</v>
      </c>
      <c r="I67" s="22">
        <f>H67/G67</f>
        <v>0.28947173822618666</v>
      </c>
      <c r="J67" s="46" t="s">
        <v>56</v>
      </c>
    </row>
    <row r="68" spans="1:10" ht="72.75" customHeight="1">
      <c r="A68" s="112"/>
      <c r="B68" s="112"/>
      <c r="C68" s="112"/>
      <c r="D68" s="5">
        <v>113.9</v>
      </c>
      <c r="E68" s="5">
        <v>56.95</v>
      </c>
      <c r="F68" s="22">
        <f>E68/D68</f>
        <v>0.5</v>
      </c>
      <c r="G68" s="6">
        <f t="shared" si="9"/>
        <v>113.9</v>
      </c>
      <c r="H68" s="6">
        <f t="shared" si="9"/>
        <v>56.95</v>
      </c>
      <c r="I68" s="22">
        <f>H68/G68</f>
        <v>0.5</v>
      </c>
      <c r="J68" s="46" t="s">
        <v>57</v>
      </c>
    </row>
    <row r="69" spans="1:10" ht="22.5" hidden="1" outlineLevel="1">
      <c r="A69" s="112"/>
      <c r="B69" s="112"/>
      <c r="C69" s="112"/>
      <c r="D69" s="5" t="e">
        <f>#REF!</f>
        <v>#REF!</v>
      </c>
      <c r="E69" s="5"/>
      <c r="F69" s="22"/>
      <c r="G69" s="6"/>
      <c r="H69" s="6"/>
      <c r="I69" s="22" t="e">
        <f>H69/G69</f>
        <v>#DIV/0!</v>
      </c>
      <c r="J69" s="46" t="s">
        <v>55</v>
      </c>
    </row>
    <row r="70" spans="1:10" ht="29.25" customHeight="1" collapsed="1">
      <c r="A70" s="112"/>
      <c r="B70" s="112"/>
      <c r="C70" s="112"/>
      <c r="D70" s="5">
        <v>4099.18</v>
      </c>
      <c r="E70" s="5">
        <v>0</v>
      </c>
      <c r="F70" s="22">
        <f>E70/D70</f>
        <v>0</v>
      </c>
      <c r="G70" s="6">
        <f t="shared" si="9"/>
        <v>4099.18</v>
      </c>
      <c r="H70" s="6">
        <f t="shared" si="9"/>
        <v>0</v>
      </c>
      <c r="I70" s="22">
        <f>H70/G70</f>
        <v>0</v>
      </c>
      <c r="J70" s="46" t="s">
        <v>65</v>
      </c>
    </row>
    <row r="71" spans="1:10" ht="15.75">
      <c r="A71" s="112"/>
      <c r="B71" s="112"/>
      <c r="C71" s="39" t="s">
        <v>39</v>
      </c>
      <c r="D71" s="5"/>
      <c r="E71" s="5"/>
      <c r="F71" s="31"/>
      <c r="G71" s="5"/>
      <c r="H71" s="5"/>
      <c r="I71" s="27"/>
      <c r="J71" s="43"/>
    </row>
    <row r="72" spans="1:10" ht="15.75">
      <c r="A72" s="112"/>
      <c r="B72" s="112"/>
      <c r="C72" s="39" t="s">
        <v>45</v>
      </c>
      <c r="D72" s="5"/>
      <c r="E72" s="5"/>
      <c r="F72" s="31"/>
      <c r="G72" s="5"/>
      <c r="H72" s="5"/>
      <c r="I72" s="27"/>
      <c r="J72" s="43"/>
    </row>
    <row r="73" spans="1:10" ht="66.75" customHeight="1">
      <c r="A73" s="112"/>
      <c r="B73" s="112"/>
      <c r="C73" s="112" t="s">
        <v>40</v>
      </c>
      <c r="D73" s="58">
        <f>SUM(D74:D82)</f>
        <v>13347.5</v>
      </c>
      <c r="E73" s="58">
        <f>SUM(E74:E82)</f>
        <v>4134.632</v>
      </c>
      <c r="F73" s="18">
        <f>E73/D73</f>
        <v>0.3097682712118374</v>
      </c>
      <c r="G73" s="58">
        <f>SUM(G74:G82)</f>
        <v>13347.5</v>
      </c>
      <c r="H73" s="58">
        <f>SUM(H74:H82)</f>
        <v>10084.618</v>
      </c>
      <c r="I73" s="18">
        <f t="shared" si="7"/>
        <v>0.7555435849410003</v>
      </c>
      <c r="J73" s="44" t="s">
        <v>22</v>
      </c>
    </row>
    <row r="74" spans="1:10" ht="33.75">
      <c r="A74" s="112"/>
      <c r="B74" s="112"/>
      <c r="C74" s="112"/>
      <c r="D74" s="5">
        <v>9499.24</v>
      </c>
      <c r="E74" s="5">
        <f>H74-5749.38</f>
        <v>1849.3199999999997</v>
      </c>
      <c r="F74" s="22">
        <f aca="true" t="shared" si="10" ref="F74:F82">E74/D74</f>
        <v>0.1946808376249047</v>
      </c>
      <c r="G74" s="6">
        <f aca="true" t="shared" si="11" ref="G74:H82">D74</f>
        <v>9499.24</v>
      </c>
      <c r="H74" s="6">
        <v>7598.7</v>
      </c>
      <c r="I74" s="22">
        <f t="shared" si="7"/>
        <v>0.7999271520669022</v>
      </c>
      <c r="J74" s="46" t="s">
        <v>26</v>
      </c>
    </row>
    <row r="75" spans="1:10" ht="22.5">
      <c r="A75" s="112"/>
      <c r="B75" s="112"/>
      <c r="C75" s="112"/>
      <c r="D75" s="5">
        <v>210</v>
      </c>
      <c r="E75" s="5">
        <v>64.318</v>
      </c>
      <c r="F75" s="22">
        <f t="shared" si="10"/>
        <v>0.3062761904761905</v>
      </c>
      <c r="G75" s="6">
        <f t="shared" si="11"/>
        <v>210</v>
      </c>
      <c r="H75" s="6">
        <f t="shared" si="11"/>
        <v>64.318</v>
      </c>
      <c r="I75" s="22">
        <f t="shared" si="7"/>
        <v>0.3062761904761905</v>
      </c>
      <c r="J75" s="46" t="s">
        <v>27</v>
      </c>
    </row>
    <row r="76" spans="1:10" ht="33.75">
      <c r="A76" s="112"/>
      <c r="B76" s="112"/>
      <c r="C76" s="112"/>
      <c r="D76" s="5">
        <v>607.9</v>
      </c>
      <c r="E76" s="5">
        <f>H76-166.73</f>
        <v>162.33</v>
      </c>
      <c r="F76" s="22">
        <f t="shared" si="10"/>
        <v>0.26703405165323246</v>
      </c>
      <c r="G76" s="6">
        <f t="shared" si="11"/>
        <v>607.9</v>
      </c>
      <c r="H76" s="6">
        <v>329.06</v>
      </c>
      <c r="I76" s="22">
        <f t="shared" si="7"/>
        <v>0.5413061358776114</v>
      </c>
      <c r="J76" s="46" t="s">
        <v>28</v>
      </c>
    </row>
    <row r="77" spans="1:10" ht="22.5">
      <c r="A77" s="112"/>
      <c r="B77" s="112"/>
      <c r="C77" s="112"/>
      <c r="D77" s="5">
        <v>52.23</v>
      </c>
      <c r="E77" s="5">
        <v>0</v>
      </c>
      <c r="F77" s="22">
        <f t="shared" si="10"/>
        <v>0</v>
      </c>
      <c r="G77" s="6">
        <f t="shared" si="11"/>
        <v>52.23</v>
      </c>
      <c r="H77" s="6">
        <f t="shared" si="11"/>
        <v>0</v>
      </c>
      <c r="I77" s="22">
        <f t="shared" si="7"/>
        <v>0</v>
      </c>
      <c r="J77" s="46" t="s">
        <v>29</v>
      </c>
    </row>
    <row r="78" spans="1:10" ht="78.75">
      <c r="A78" s="112"/>
      <c r="B78" s="112"/>
      <c r="C78" s="112"/>
      <c r="D78" s="5">
        <v>2163.7</v>
      </c>
      <c r="E78" s="5">
        <v>1442.6</v>
      </c>
      <c r="F78" s="22">
        <f>E78/D78</f>
        <v>0.6667282895040902</v>
      </c>
      <c r="G78" s="6">
        <f t="shared" si="11"/>
        <v>2163.7</v>
      </c>
      <c r="H78" s="6">
        <f t="shared" si="11"/>
        <v>1442.6</v>
      </c>
      <c r="I78" s="22">
        <f>H78/G78</f>
        <v>0.6667282895040902</v>
      </c>
      <c r="J78" s="46" t="s">
        <v>56</v>
      </c>
    </row>
    <row r="79" spans="1:10" ht="78.75">
      <c r="A79" s="112"/>
      <c r="B79" s="112"/>
      <c r="C79" s="112"/>
      <c r="D79" s="5">
        <v>113.9</v>
      </c>
      <c r="E79" s="5">
        <v>76</v>
      </c>
      <c r="F79" s="22">
        <f>E79/D79</f>
        <v>0.6672519754170324</v>
      </c>
      <c r="G79" s="6">
        <f t="shared" si="11"/>
        <v>113.9</v>
      </c>
      <c r="H79" s="6">
        <f t="shared" si="11"/>
        <v>76</v>
      </c>
      <c r="I79" s="22">
        <f>H79/G79</f>
        <v>0.6672519754170324</v>
      </c>
      <c r="J79" s="46" t="s">
        <v>57</v>
      </c>
    </row>
    <row r="80" spans="1:10" ht="22.5">
      <c r="A80" s="112"/>
      <c r="B80" s="112"/>
      <c r="C80" s="112"/>
      <c r="D80" s="5">
        <v>120</v>
      </c>
      <c r="E80" s="5">
        <f>H80-30</f>
        <v>23.409999999999997</v>
      </c>
      <c r="F80" s="22">
        <f t="shared" si="10"/>
        <v>0.1950833333333333</v>
      </c>
      <c r="G80" s="6">
        <f t="shared" si="11"/>
        <v>120</v>
      </c>
      <c r="H80" s="6">
        <v>53.41</v>
      </c>
      <c r="I80" s="22">
        <f t="shared" si="7"/>
        <v>0.44508333333333333</v>
      </c>
      <c r="J80" s="46" t="s">
        <v>13</v>
      </c>
    </row>
    <row r="81" spans="1:10" ht="22.5">
      <c r="A81" s="112"/>
      <c r="B81" s="112"/>
      <c r="C81" s="112"/>
      <c r="D81" s="5">
        <v>120</v>
      </c>
      <c r="E81" s="5">
        <f>H81-3.876</f>
        <v>56.124</v>
      </c>
      <c r="F81" s="22">
        <f t="shared" si="10"/>
        <v>0.4677</v>
      </c>
      <c r="G81" s="6">
        <f t="shared" si="11"/>
        <v>120</v>
      </c>
      <c r="H81" s="6">
        <v>60</v>
      </c>
      <c r="I81" s="22">
        <f>H81/G81</f>
        <v>0.5</v>
      </c>
      <c r="J81" s="46" t="s">
        <v>66</v>
      </c>
    </row>
    <row r="82" spans="1:12" ht="52.5" customHeight="1">
      <c r="A82" s="112"/>
      <c r="B82" s="112"/>
      <c r="C82" s="112"/>
      <c r="D82" s="5">
        <v>460.53</v>
      </c>
      <c r="E82" s="5">
        <v>460.53</v>
      </c>
      <c r="F82" s="22">
        <f t="shared" si="10"/>
        <v>1</v>
      </c>
      <c r="G82" s="6">
        <f t="shared" si="11"/>
        <v>460.53</v>
      </c>
      <c r="H82" s="6">
        <f t="shared" si="11"/>
        <v>460.53</v>
      </c>
      <c r="I82" s="22">
        <f t="shared" si="7"/>
        <v>1</v>
      </c>
      <c r="J82" s="46" t="s">
        <v>64</v>
      </c>
      <c r="L82" s="54"/>
    </row>
    <row r="83" spans="1:10" ht="16.5" customHeight="1">
      <c r="A83" s="109" t="s">
        <v>81</v>
      </c>
      <c r="B83" s="109" t="s">
        <v>43</v>
      </c>
      <c r="C83" s="38" t="s">
        <v>36</v>
      </c>
      <c r="D83" s="33">
        <f>D84+D85+D88+D89+D90+D86+D87</f>
        <v>6993.9954800000005</v>
      </c>
      <c r="E83" s="33">
        <f>E84+E85+E88+E89+E90+E86+E87</f>
        <v>1924.7309999999998</v>
      </c>
      <c r="F83" s="34">
        <f aca="true" t="shared" si="12" ref="F83:F88">E83/D83</f>
        <v>0.27519763281288245</v>
      </c>
      <c r="G83" s="33">
        <f>G84+G85+G88+G89+G90+G86+G87</f>
        <v>6993.9954800000005</v>
      </c>
      <c r="H83" s="33">
        <f>H84+H85+H88+H89+H90+H86+H87</f>
        <v>2472.7309999999998</v>
      </c>
      <c r="I83" s="34">
        <f t="shared" si="7"/>
        <v>0.35355055734179563</v>
      </c>
      <c r="J83" s="47"/>
    </row>
    <row r="84" spans="1:10" ht="24.75" customHeight="1">
      <c r="A84" s="110"/>
      <c r="B84" s="110"/>
      <c r="C84" s="39" t="s">
        <v>37</v>
      </c>
      <c r="D84" s="5">
        <v>409.3681</v>
      </c>
      <c r="E84" s="5">
        <v>0</v>
      </c>
      <c r="F84" s="22">
        <f t="shared" si="12"/>
        <v>0</v>
      </c>
      <c r="G84" s="6">
        <f aca="true" t="shared" si="13" ref="G84:H89">D84</f>
        <v>409.3681</v>
      </c>
      <c r="H84" s="6">
        <f t="shared" si="13"/>
        <v>0</v>
      </c>
      <c r="I84" s="22">
        <f aca="true" t="shared" si="14" ref="I84:I89">H84/G84</f>
        <v>0</v>
      </c>
      <c r="J84" s="106" t="s">
        <v>106</v>
      </c>
    </row>
    <row r="85" spans="1:10" ht="35.25" customHeight="1">
      <c r="A85" s="110"/>
      <c r="B85" s="110"/>
      <c r="C85" s="39" t="s">
        <v>90</v>
      </c>
      <c r="D85" s="5">
        <v>600</v>
      </c>
      <c r="E85" s="5">
        <v>0</v>
      </c>
      <c r="F85" s="22">
        <f t="shared" si="12"/>
        <v>0</v>
      </c>
      <c r="G85" s="6">
        <f t="shared" si="13"/>
        <v>600</v>
      </c>
      <c r="H85" s="6">
        <f t="shared" si="13"/>
        <v>0</v>
      </c>
      <c r="I85" s="22">
        <f t="shared" si="14"/>
        <v>0</v>
      </c>
      <c r="J85" s="107"/>
    </row>
    <row r="86" spans="1:10" ht="27" customHeight="1">
      <c r="A86" s="110"/>
      <c r="B86" s="110"/>
      <c r="C86" s="39" t="s">
        <v>104</v>
      </c>
      <c r="D86" s="5">
        <v>426.07697</v>
      </c>
      <c r="E86" s="5"/>
      <c r="F86" s="22">
        <f t="shared" si="12"/>
        <v>0</v>
      </c>
      <c r="G86" s="6">
        <f t="shared" si="13"/>
        <v>426.07697</v>
      </c>
      <c r="H86" s="6"/>
      <c r="I86" s="22">
        <f t="shared" si="14"/>
        <v>0</v>
      </c>
      <c r="J86" s="107"/>
    </row>
    <row r="87" spans="1:10" ht="38.25" customHeight="1">
      <c r="A87" s="110"/>
      <c r="B87" s="110"/>
      <c r="C87" s="39" t="s">
        <v>105</v>
      </c>
      <c r="D87" s="5">
        <v>1071.45493</v>
      </c>
      <c r="E87" s="5"/>
      <c r="F87" s="22">
        <f t="shared" si="12"/>
        <v>0</v>
      </c>
      <c r="G87" s="6">
        <f t="shared" si="13"/>
        <v>1071.45493</v>
      </c>
      <c r="H87" s="6"/>
      <c r="I87" s="22">
        <f t="shared" si="14"/>
        <v>0</v>
      </c>
      <c r="J87" s="107"/>
    </row>
    <row r="88" spans="1:10" ht="24" customHeight="1">
      <c r="A88" s="110"/>
      <c r="B88" s="110"/>
      <c r="C88" s="39" t="s">
        <v>39</v>
      </c>
      <c r="D88" s="5">
        <v>20</v>
      </c>
      <c r="E88" s="5"/>
      <c r="F88" s="22">
        <f t="shared" si="12"/>
        <v>0</v>
      </c>
      <c r="G88" s="6">
        <f t="shared" si="13"/>
        <v>20</v>
      </c>
      <c r="H88" s="6">
        <f t="shared" si="13"/>
        <v>0</v>
      </c>
      <c r="I88" s="22">
        <f t="shared" si="14"/>
        <v>0</v>
      </c>
      <c r="J88" s="108"/>
    </row>
    <row r="89" spans="1:10" ht="30.75" customHeight="1">
      <c r="A89" s="110"/>
      <c r="B89" s="110"/>
      <c r="C89" s="39" t="s">
        <v>45</v>
      </c>
      <c r="D89" s="5">
        <v>47.066</v>
      </c>
      <c r="E89" s="5">
        <v>0</v>
      </c>
      <c r="F89" s="22">
        <f aca="true" t="shared" si="15" ref="F89:F105">E89/D89</f>
        <v>0</v>
      </c>
      <c r="G89" s="6">
        <f t="shared" si="13"/>
        <v>47.066</v>
      </c>
      <c r="H89" s="6">
        <f t="shared" si="13"/>
        <v>0</v>
      </c>
      <c r="I89" s="22">
        <f t="shared" si="14"/>
        <v>0</v>
      </c>
      <c r="J89" s="50" t="s">
        <v>46</v>
      </c>
    </row>
    <row r="90" spans="1:10" ht="124.5" customHeight="1">
      <c r="A90" s="110"/>
      <c r="B90" s="110"/>
      <c r="C90" s="109" t="s">
        <v>40</v>
      </c>
      <c r="D90" s="8">
        <f>SUM(D91:D96)</f>
        <v>4420.02948</v>
      </c>
      <c r="E90" s="8">
        <f>SUM(E91:E96)</f>
        <v>1924.7309999999998</v>
      </c>
      <c r="F90" s="18">
        <f t="shared" si="15"/>
        <v>0.4354565979048628</v>
      </c>
      <c r="G90" s="8">
        <f>SUM(G91:G96)</f>
        <v>4420.02948</v>
      </c>
      <c r="H90" s="8">
        <f>SUM(H91:H96)</f>
        <v>2472.7309999999998</v>
      </c>
      <c r="I90" s="18">
        <f aca="true" t="shared" si="16" ref="I90:I105">H90/G90</f>
        <v>0.5594376714428609</v>
      </c>
      <c r="J90" s="44" t="s">
        <v>23</v>
      </c>
    </row>
    <row r="91" spans="1:10" ht="15.75">
      <c r="A91" s="110"/>
      <c r="B91" s="110"/>
      <c r="C91" s="110"/>
      <c r="D91" s="5">
        <v>61.7</v>
      </c>
      <c r="E91" s="5">
        <f>H91-7</f>
        <v>16.5</v>
      </c>
      <c r="F91" s="22">
        <f t="shared" si="15"/>
        <v>0.26742301458670986</v>
      </c>
      <c r="G91" s="6">
        <f aca="true" t="shared" si="17" ref="G91:H96">D91</f>
        <v>61.7</v>
      </c>
      <c r="H91" s="6">
        <v>23.5</v>
      </c>
      <c r="I91" s="22">
        <f t="shared" si="16"/>
        <v>0.38087520259319285</v>
      </c>
      <c r="J91" s="46" t="s">
        <v>14</v>
      </c>
    </row>
    <row r="92" spans="1:10" ht="22.5">
      <c r="A92" s="110"/>
      <c r="B92" s="110"/>
      <c r="C92" s="110"/>
      <c r="D92" s="5">
        <v>457.034</v>
      </c>
      <c r="E92" s="5">
        <v>73.131</v>
      </c>
      <c r="F92" s="22">
        <f t="shared" si="15"/>
        <v>0.16001216539688515</v>
      </c>
      <c r="G92" s="6">
        <f t="shared" si="17"/>
        <v>457.034</v>
      </c>
      <c r="H92" s="6">
        <f t="shared" si="17"/>
        <v>73.131</v>
      </c>
      <c r="I92" s="22">
        <f>H92/G92</f>
        <v>0.16001216539688515</v>
      </c>
      <c r="J92" s="46" t="s">
        <v>52</v>
      </c>
    </row>
    <row r="93" spans="1:10" ht="37.5" customHeight="1">
      <c r="A93" s="110"/>
      <c r="B93" s="110"/>
      <c r="C93" s="110"/>
      <c r="D93" s="5">
        <v>940</v>
      </c>
      <c r="E93" s="5">
        <f>H93-466</f>
        <v>238.5</v>
      </c>
      <c r="F93" s="22">
        <f t="shared" si="15"/>
        <v>0.25372340425531914</v>
      </c>
      <c r="G93" s="6">
        <f t="shared" si="17"/>
        <v>940</v>
      </c>
      <c r="H93" s="6">
        <v>704.5</v>
      </c>
      <c r="I93" s="22">
        <f>H93/G93</f>
        <v>0.749468085106383</v>
      </c>
      <c r="J93" s="46" t="s">
        <v>30</v>
      </c>
    </row>
    <row r="94" spans="1:10" ht="22.5">
      <c r="A94" s="110"/>
      <c r="B94" s="110"/>
      <c r="C94" s="110"/>
      <c r="D94" s="5">
        <v>150</v>
      </c>
      <c r="E94" s="5">
        <f>H94-75</f>
        <v>37.5</v>
      </c>
      <c r="F94" s="22">
        <f t="shared" si="15"/>
        <v>0.25</v>
      </c>
      <c r="G94" s="6">
        <f t="shared" si="17"/>
        <v>150</v>
      </c>
      <c r="H94" s="6">
        <v>112.5</v>
      </c>
      <c r="I94" s="22">
        <f t="shared" si="16"/>
        <v>0.75</v>
      </c>
      <c r="J94" s="46" t="s">
        <v>15</v>
      </c>
    </row>
    <row r="95" spans="1:10" ht="22.5">
      <c r="A95" s="110"/>
      <c r="B95" s="110"/>
      <c r="C95" s="110"/>
      <c r="D95" s="5">
        <v>1560</v>
      </c>
      <c r="E95" s="5">
        <v>1559.1</v>
      </c>
      <c r="F95" s="22">
        <f t="shared" si="15"/>
        <v>0.9994230769230769</v>
      </c>
      <c r="G95" s="6">
        <f t="shared" si="17"/>
        <v>1560</v>
      </c>
      <c r="H95" s="6">
        <f t="shared" si="17"/>
        <v>1559.1</v>
      </c>
      <c r="I95" s="22">
        <f t="shared" si="16"/>
        <v>0.9994230769230769</v>
      </c>
      <c r="J95" s="46" t="s">
        <v>107</v>
      </c>
    </row>
    <row r="96" spans="1:10" ht="75" customHeight="1">
      <c r="A96" s="111"/>
      <c r="B96" s="111"/>
      <c r="C96" s="111"/>
      <c r="D96" s="5">
        <v>1251.29548</v>
      </c>
      <c r="E96" s="5">
        <v>0</v>
      </c>
      <c r="F96" s="22">
        <f t="shared" si="15"/>
        <v>0</v>
      </c>
      <c r="G96" s="6">
        <f t="shared" si="17"/>
        <v>1251.29548</v>
      </c>
      <c r="H96" s="6">
        <v>0</v>
      </c>
      <c r="I96" s="22">
        <f t="shared" si="16"/>
        <v>0</v>
      </c>
      <c r="J96" s="55" t="s">
        <v>108</v>
      </c>
    </row>
    <row r="97" spans="1:10" ht="36.75" customHeight="1">
      <c r="A97" s="109" t="s">
        <v>91</v>
      </c>
      <c r="B97" s="109"/>
      <c r="C97" s="109" t="s">
        <v>40</v>
      </c>
      <c r="D97" s="8">
        <f>SUM(D98:D99)</f>
        <v>0</v>
      </c>
      <c r="E97" s="8">
        <f>SUM(E98:E99)</f>
        <v>0</v>
      </c>
      <c r="F97" s="18" t="e">
        <f t="shared" si="15"/>
        <v>#DIV/0!</v>
      </c>
      <c r="G97" s="8">
        <f>SUM(G98:G99)</f>
        <v>0</v>
      </c>
      <c r="H97" s="8">
        <f>SUM(H98:H99)</f>
        <v>0</v>
      </c>
      <c r="I97" s="18" t="e">
        <f t="shared" si="16"/>
        <v>#DIV/0!</v>
      </c>
      <c r="J97" s="51" t="s">
        <v>92</v>
      </c>
    </row>
    <row r="98" spans="1:10" ht="45">
      <c r="A98" s="110"/>
      <c r="B98" s="110"/>
      <c r="C98" s="110"/>
      <c r="D98" s="5"/>
      <c r="E98" s="5"/>
      <c r="F98" s="22" t="e">
        <f t="shared" si="15"/>
        <v>#DIV/0!</v>
      </c>
      <c r="G98" s="6">
        <f>D98</f>
        <v>0</v>
      </c>
      <c r="H98" s="6">
        <f>E98</f>
        <v>0</v>
      </c>
      <c r="I98" s="22" t="e">
        <f>H98/G98</f>
        <v>#DIV/0!</v>
      </c>
      <c r="J98" s="46" t="s">
        <v>93</v>
      </c>
    </row>
    <row r="99" spans="1:10" ht="51.75" customHeight="1">
      <c r="A99" s="111"/>
      <c r="B99" s="111"/>
      <c r="C99" s="111"/>
      <c r="D99" s="5"/>
      <c r="E99" s="5"/>
      <c r="F99" s="22" t="e">
        <f t="shared" si="15"/>
        <v>#DIV/0!</v>
      </c>
      <c r="G99" s="6">
        <f>D99</f>
        <v>0</v>
      </c>
      <c r="H99" s="6">
        <f>E99</f>
        <v>0</v>
      </c>
      <c r="I99" s="22" t="e">
        <f>H99/G99</f>
        <v>#DIV/0!</v>
      </c>
      <c r="J99" s="46" t="s">
        <v>94</v>
      </c>
    </row>
    <row r="100" spans="1:10" ht="16.5" customHeight="1">
      <c r="A100" s="112" t="s">
        <v>41</v>
      </c>
      <c r="B100" s="112"/>
      <c r="C100" s="38" t="s">
        <v>36</v>
      </c>
      <c r="D100" s="59" t="e">
        <f>D14+D25+D35+D64+D83+D97</f>
        <v>#REF!</v>
      </c>
      <c r="E100" s="59">
        <f>E14+E25+E35+E64+E83+E97</f>
        <v>9998.266329999999</v>
      </c>
      <c r="F100" s="34" t="e">
        <f t="shared" si="15"/>
        <v>#REF!</v>
      </c>
      <c r="G100" s="59">
        <f>G14+G25+G35+G64+G83+G97</f>
        <v>50252.672999999995</v>
      </c>
      <c r="H100" s="59">
        <f>H14+H25+H35+H64+H83+H97</f>
        <v>17523.66442</v>
      </c>
      <c r="I100" s="34">
        <f t="shared" si="16"/>
        <v>0.348711090850829</v>
      </c>
      <c r="J100" s="35"/>
    </row>
    <row r="101" spans="1:10" ht="24">
      <c r="A101" s="112"/>
      <c r="B101" s="112"/>
      <c r="C101" s="39" t="s">
        <v>37</v>
      </c>
      <c r="D101" s="60">
        <f>D15+D26+D37+D65+D84+D85+D86</f>
        <v>1435.44507</v>
      </c>
      <c r="E101" s="60">
        <f>E15+E26+E37+E65+E84+E85+E86</f>
        <v>0</v>
      </c>
      <c r="F101" s="18">
        <f t="shared" si="15"/>
        <v>0</v>
      </c>
      <c r="G101" s="60">
        <f>G15+G26+G36+G65+G84</f>
        <v>409.3681</v>
      </c>
      <c r="H101" s="60">
        <f>H15+H26+H36+H65+H84</f>
        <v>0</v>
      </c>
      <c r="I101" s="18">
        <f t="shared" si="16"/>
        <v>0</v>
      </c>
      <c r="J101" s="20"/>
    </row>
    <row r="102" spans="1:10" ht="24">
      <c r="A102" s="112"/>
      <c r="B102" s="112"/>
      <c r="C102" s="39" t="s">
        <v>38</v>
      </c>
      <c r="D102" s="60" t="e">
        <f>D16+D27+D38+D66+D85+D86+D87</f>
        <v>#REF!</v>
      </c>
      <c r="E102" s="60">
        <f>E16+E27+E38+E66+E85+E86+E87</f>
        <v>796.22</v>
      </c>
      <c r="F102" s="18" t="e">
        <f t="shared" si="15"/>
        <v>#REF!</v>
      </c>
      <c r="G102" s="60">
        <f>G16+G27+G38+G66+G85+G86+G87</f>
        <v>10695.0119</v>
      </c>
      <c r="H102" s="60">
        <f>H16+H27+H38+H66+H85+H86+H87</f>
        <v>796.22</v>
      </c>
      <c r="I102" s="18">
        <f t="shared" si="16"/>
        <v>0.07444779000199149</v>
      </c>
      <c r="J102" s="20"/>
    </row>
    <row r="103" spans="1:10" ht="15.75">
      <c r="A103" s="112"/>
      <c r="B103" s="112"/>
      <c r="C103" s="39" t="s">
        <v>39</v>
      </c>
      <c r="D103" s="60">
        <f>D17+D28+D43+D71+D88</f>
        <v>20</v>
      </c>
      <c r="E103" s="60">
        <f>E17+E28+E43+E71+E88</f>
        <v>0</v>
      </c>
      <c r="F103" s="18"/>
      <c r="G103" s="60">
        <f>G17+G28+G43+G71+G88</f>
        <v>20</v>
      </c>
      <c r="H103" s="60">
        <f>H17+H28+H43+H71+H88</f>
        <v>0</v>
      </c>
      <c r="I103" s="18"/>
      <c r="J103" s="20"/>
    </row>
    <row r="104" spans="1:10" ht="15.75">
      <c r="A104" s="112"/>
      <c r="B104" s="112"/>
      <c r="C104" s="39" t="s">
        <v>45</v>
      </c>
      <c r="D104" s="60">
        <f>D18+D29+D44+D45+D72+D89</f>
        <v>47.066</v>
      </c>
      <c r="E104" s="60">
        <f>E18+E29+E44+E45+E72+E89</f>
        <v>0</v>
      </c>
      <c r="F104" s="18">
        <f t="shared" si="15"/>
        <v>0</v>
      </c>
      <c r="G104" s="60">
        <f>G18+G29+G44+G45+G72+G89</f>
        <v>47.066</v>
      </c>
      <c r="H104" s="60">
        <f>H18+H29+H44+H45+H72+H89</f>
        <v>0</v>
      </c>
      <c r="I104" s="18">
        <f t="shared" si="16"/>
        <v>0</v>
      </c>
      <c r="J104" s="20"/>
    </row>
    <row r="105" spans="1:10" ht="36">
      <c r="A105" s="112"/>
      <c r="B105" s="112"/>
      <c r="C105" s="42" t="s">
        <v>40</v>
      </c>
      <c r="D105" s="60">
        <f>D19+D30+D46+D73+D90+D97</f>
        <v>39081.227</v>
      </c>
      <c r="E105" s="60">
        <f>E19+E30+E46+E73+E90+E97</f>
        <v>9202.04633</v>
      </c>
      <c r="F105" s="18">
        <f t="shared" si="15"/>
        <v>0.23545950412457622</v>
      </c>
      <c r="G105" s="60">
        <f>G19+G30+G46+G73+G90+G97</f>
        <v>39081.227</v>
      </c>
      <c r="H105" s="60">
        <f>H19+H30+H46+H73+H90+H97</f>
        <v>16727.44442</v>
      </c>
      <c r="I105" s="18">
        <f t="shared" si="16"/>
        <v>0.42801738082583746</v>
      </c>
      <c r="J105" s="20"/>
    </row>
    <row r="107" ht="12.75">
      <c r="A107" s="1" t="s">
        <v>98</v>
      </c>
    </row>
    <row r="108" ht="12.75">
      <c r="A108" s="1" t="s">
        <v>59</v>
      </c>
    </row>
    <row r="114" ht="12.75">
      <c r="E114" s="54" t="e">
        <f>50252.673-D100</f>
        <v>#REF!</v>
      </c>
    </row>
  </sheetData>
  <sheetProtection/>
  <mergeCells count="35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35:A63"/>
    <mergeCell ref="B35:B63"/>
    <mergeCell ref="C36:C37"/>
    <mergeCell ref="C38:C41"/>
    <mergeCell ref="C44:C45"/>
    <mergeCell ref="C46:C63"/>
    <mergeCell ref="A100:A105"/>
    <mergeCell ref="B100:B105"/>
    <mergeCell ref="A64:A82"/>
    <mergeCell ref="B64:B82"/>
    <mergeCell ref="C66:C70"/>
    <mergeCell ref="C73:C82"/>
    <mergeCell ref="J84:J88"/>
    <mergeCell ref="A83:A96"/>
    <mergeCell ref="B83:B96"/>
    <mergeCell ref="C90:C96"/>
    <mergeCell ref="A97:A99"/>
    <mergeCell ref="B97:B99"/>
    <mergeCell ref="C97:C99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landscape" paperSize="9" scale="75" r:id="rId1"/>
  <rowBreaks count="2" manualBreakCount="2">
    <brk id="75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 outlineLevelRow="1"/>
  <cols>
    <col min="1" max="2" width="15.25390625" style="1" customWidth="1"/>
    <col min="3" max="3" width="23.875" style="1" customWidth="1"/>
    <col min="4" max="4" width="15.375" style="54" customWidth="1"/>
    <col min="5" max="5" width="14.625" style="1" customWidth="1"/>
    <col min="6" max="6" width="10.125" style="1" customWidth="1"/>
    <col min="7" max="7" width="14.875" style="54" customWidth="1"/>
    <col min="8" max="8" width="14.00390625" style="11" customWidth="1"/>
    <col min="9" max="9" width="10.875" style="1" customWidth="1"/>
    <col min="10" max="10" width="42.125" style="1" customWidth="1"/>
    <col min="11" max="11" width="9.125" style="1" customWidth="1"/>
    <col min="12" max="12" width="10.625" style="1" bestFit="1" customWidth="1"/>
    <col min="13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110</v>
      </c>
    </row>
    <row r="4" spans="3:10" ht="15.75" customHeight="1">
      <c r="C4" s="100" t="s">
        <v>53</v>
      </c>
      <c r="D4" s="100"/>
      <c r="E4" s="100"/>
      <c r="F4" s="100"/>
      <c r="G4" s="100"/>
      <c r="H4" s="100"/>
      <c r="I4" s="100"/>
      <c r="J4" s="100"/>
    </row>
    <row r="5" spans="3:10" ht="30" customHeight="1">
      <c r="C5" s="101" t="s">
        <v>48</v>
      </c>
      <c r="D5" s="101"/>
      <c r="E5" s="101"/>
      <c r="F5" s="101"/>
      <c r="G5" s="101"/>
      <c r="H5" s="101"/>
      <c r="I5" s="101"/>
      <c r="J5" s="101"/>
    </row>
    <row r="6" spans="1:10" ht="15.75">
      <c r="A6" s="102" t="s">
        <v>111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48.75" customHeight="1">
      <c r="A7" s="103" t="s">
        <v>112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2.75">
      <c r="A8" s="104" t="s">
        <v>31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119" t="s">
        <v>32</v>
      </c>
      <c r="B11" s="120" t="s">
        <v>16</v>
      </c>
      <c r="C11" s="122" t="s">
        <v>33</v>
      </c>
      <c r="D11" s="123" t="s">
        <v>113</v>
      </c>
      <c r="E11" s="124"/>
      <c r="F11" s="125"/>
      <c r="G11" s="126" t="s">
        <v>68</v>
      </c>
      <c r="H11" s="126"/>
      <c r="I11" s="126"/>
      <c r="J11" s="126"/>
    </row>
    <row r="12" spans="1:10" ht="66.75" customHeight="1">
      <c r="A12" s="119"/>
      <c r="B12" s="121"/>
      <c r="C12" s="122"/>
      <c r="D12" s="56" t="s">
        <v>76</v>
      </c>
      <c r="E12" s="53" t="s">
        <v>35</v>
      </c>
      <c r="F12" s="63" t="s">
        <v>34</v>
      </c>
      <c r="G12" s="56" t="s">
        <v>76</v>
      </c>
      <c r="H12" s="53" t="s">
        <v>35</v>
      </c>
      <c r="I12" s="63" t="s">
        <v>34</v>
      </c>
      <c r="J12" s="63" t="s">
        <v>54</v>
      </c>
    </row>
    <row r="13" spans="1:10" ht="15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</row>
    <row r="14" spans="1:10" ht="15.75">
      <c r="A14" s="112" t="s">
        <v>75</v>
      </c>
      <c r="B14" s="112" t="s">
        <v>17</v>
      </c>
      <c r="C14" s="38" t="s">
        <v>36</v>
      </c>
      <c r="D14" s="36">
        <f>SUM(D15:D19)</f>
        <v>1397.676</v>
      </c>
      <c r="E14" s="36">
        <f>SUM(E15:E19)</f>
        <v>110.45</v>
      </c>
      <c r="F14" s="34">
        <f>E14/D14</f>
        <v>0.07902403704435076</v>
      </c>
      <c r="G14" s="36">
        <f>SUM(G15:G19)</f>
        <v>1397.676</v>
      </c>
      <c r="H14" s="36">
        <f>SUM(H15:H19)</f>
        <v>325.839</v>
      </c>
      <c r="I14" s="37">
        <f>I15+I16+I17+I19</f>
        <v>0.32747638190954775</v>
      </c>
      <c r="J14" s="35"/>
    </row>
    <row r="15" spans="1:10" ht="24">
      <c r="A15" s="112"/>
      <c r="B15" s="112"/>
      <c r="C15" s="65" t="s">
        <v>37</v>
      </c>
      <c r="D15" s="5"/>
      <c r="E15" s="5"/>
      <c r="F15" s="62"/>
      <c r="G15" s="5"/>
      <c r="H15" s="5"/>
      <c r="I15" s="22"/>
      <c r="J15" s="20"/>
    </row>
    <row r="16" spans="1:10" ht="24">
      <c r="A16" s="112"/>
      <c r="B16" s="112"/>
      <c r="C16" s="65" t="s">
        <v>38</v>
      </c>
      <c r="D16" s="5"/>
      <c r="E16" s="5"/>
      <c r="F16" s="62"/>
      <c r="G16" s="5"/>
      <c r="H16" s="5"/>
      <c r="I16" s="22"/>
      <c r="J16" s="43"/>
    </row>
    <row r="17" spans="1:10" ht="18.75" customHeight="1">
      <c r="A17" s="112"/>
      <c r="B17" s="112"/>
      <c r="C17" s="65" t="s">
        <v>39</v>
      </c>
      <c r="D17" s="5"/>
      <c r="E17" s="5"/>
      <c r="F17" s="62"/>
      <c r="G17" s="5"/>
      <c r="H17" s="5"/>
      <c r="I17" s="22"/>
      <c r="J17" s="43"/>
    </row>
    <row r="18" spans="1:10" ht="18.75" customHeight="1">
      <c r="A18" s="112"/>
      <c r="B18" s="112"/>
      <c r="C18" s="65" t="s">
        <v>45</v>
      </c>
      <c r="D18" s="5">
        <v>402.676</v>
      </c>
      <c r="E18" s="5">
        <v>0</v>
      </c>
      <c r="F18" s="22">
        <f aca="true" t="shared" si="0" ref="F18:F25">E18/D18</f>
        <v>0</v>
      </c>
      <c r="G18" s="5">
        <v>402.676</v>
      </c>
      <c r="H18" s="6">
        <f aca="true" t="shared" si="1" ref="G18:H24">E18</f>
        <v>0</v>
      </c>
      <c r="I18" s="22">
        <f>H18/G18</f>
        <v>0</v>
      </c>
      <c r="J18" s="43" t="s">
        <v>117</v>
      </c>
    </row>
    <row r="19" spans="1:10" ht="52.5" customHeight="1">
      <c r="A19" s="112"/>
      <c r="B19" s="112"/>
      <c r="C19" s="118" t="s">
        <v>40</v>
      </c>
      <c r="D19" s="8">
        <f>SUM(D20:D24)</f>
        <v>995</v>
      </c>
      <c r="E19" s="8">
        <f>SUM(E20:E24)</f>
        <v>110.45</v>
      </c>
      <c r="F19" s="18">
        <f t="shared" si="0"/>
        <v>0.11100502512562814</v>
      </c>
      <c r="G19" s="8">
        <f>SUM(G20:G24)</f>
        <v>995</v>
      </c>
      <c r="H19" s="8">
        <f>SUM(H20:H24)</f>
        <v>325.839</v>
      </c>
      <c r="I19" s="18">
        <f aca="true" t="shared" si="2" ref="I19:I25">H19/G19</f>
        <v>0.32747638190954775</v>
      </c>
      <c r="J19" s="44" t="s">
        <v>25</v>
      </c>
    </row>
    <row r="20" spans="1:10" ht="22.5">
      <c r="A20" s="112"/>
      <c r="B20" s="112"/>
      <c r="C20" s="118"/>
      <c r="D20" s="5">
        <v>20</v>
      </c>
      <c r="E20" s="5">
        <v>20</v>
      </c>
      <c r="F20" s="22">
        <f t="shared" si="0"/>
        <v>1</v>
      </c>
      <c r="G20" s="6">
        <f t="shared" si="1"/>
        <v>20</v>
      </c>
      <c r="H20" s="6">
        <f t="shared" si="1"/>
        <v>20</v>
      </c>
      <c r="I20" s="22">
        <f t="shared" si="2"/>
        <v>1</v>
      </c>
      <c r="J20" s="64" t="s">
        <v>60</v>
      </c>
    </row>
    <row r="21" spans="1:10" ht="22.5">
      <c r="A21" s="112"/>
      <c r="B21" s="112"/>
      <c r="C21" s="118"/>
      <c r="D21" s="5">
        <v>10</v>
      </c>
      <c r="E21" s="5">
        <v>10</v>
      </c>
      <c r="F21" s="22">
        <f t="shared" si="0"/>
        <v>1</v>
      </c>
      <c r="G21" s="6">
        <f t="shared" si="1"/>
        <v>10</v>
      </c>
      <c r="H21" s="6">
        <f t="shared" si="1"/>
        <v>10</v>
      </c>
      <c r="I21" s="22">
        <f t="shared" si="2"/>
        <v>1</v>
      </c>
      <c r="J21" s="64" t="s">
        <v>61</v>
      </c>
    </row>
    <row r="22" spans="1:10" ht="22.5">
      <c r="A22" s="112"/>
      <c r="B22" s="112"/>
      <c r="C22" s="118"/>
      <c r="D22" s="5">
        <v>300</v>
      </c>
      <c r="E22" s="5">
        <f>2.95+42.5</f>
        <v>45.45</v>
      </c>
      <c r="F22" s="22">
        <f t="shared" si="0"/>
        <v>0.1515</v>
      </c>
      <c r="G22" s="6">
        <f t="shared" si="1"/>
        <v>300</v>
      </c>
      <c r="H22" s="6">
        <f>E22+127.389</f>
        <v>172.839</v>
      </c>
      <c r="I22" s="22">
        <f t="shared" si="2"/>
        <v>0.57613</v>
      </c>
      <c r="J22" s="46" t="s">
        <v>0</v>
      </c>
    </row>
    <row r="23" spans="1:10" ht="22.5">
      <c r="A23" s="112"/>
      <c r="B23" s="112"/>
      <c r="C23" s="118"/>
      <c r="D23" s="5">
        <v>350</v>
      </c>
      <c r="E23" s="5">
        <v>0</v>
      </c>
      <c r="F23" s="22">
        <f t="shared" si="0"/>
        <v>0</v>
      </c>
      <c r="G23" s="6">
        <f t="shared" si="1"/>
        <v>350</v>
      </c>
      <c r="H23" s="6">
        <f t="shared" si="1"/>
        <v>0</v>
      </c>
      <c r="I23" s="22">
        <f t="shared" si="2"/>
        <v>0</v>
      </c>
      <c r="J23" s="76" t="s">
        <v>77</v>
      </c>
    </row>
    <row r="24" spans="1:10" ht="15.75">
      <c r="A24" s="112"/>
      <c r="B24" s="112"/>
      <c r="C24" s="118"/>
      <c r="D24" s="5">
        <v>315</v>
      </c>
      <c r="E24" s="5">
        <v>35</v>
      </c>
      <c r="F24" s="22">
        <f t="shared" si="0"/>
        <v>0.1111111111111111</v>
      </c>
      <c r="G24" s="6">
        <f t="shared" si="1"/>
        <v>315</v>
      </c>
      <c r="H24" s="6">
        <f>58+65</f>
        <v>123</v>
      </c>
      <c r="I24" s="22">
        <f t="shared" si="2"/>
        <v>0.3904761904761905</v>
      </c>
      <c r="J24" s="46" t="s">
        <v>1</v>
      </c>
    </row>
    <row r="25" spans="1:10" ht="21" customHeight="1">
      <c r="A25" s="112" t="s">
        <v>78</v>
      </c>
      <c r="B25" s="112" t="s">
        <v>18</v>
      </c>
      <c r="C25" s="38" t="s">
        <v>36</v>
      </c>
      <c r="D25" s="36">
        <f>SUM(D26:D30)</f>
        <v>160</v>
      </c>
      <c r="E25" s="36">
        <f>SUM(E26:E30)</f>
        <v>0</v>
      </c>
      <c r="F25" s="34">
        <f t="shared" si="0"/>
        <v>0</v>
      </c>
      <c r="G25" s="36">
        <f>SUM(G26:G30)</f>
        <v>160</v>
      </c>
      <c r="H25" s="36">
        <f>SUM(H26:H30)</f>
        <v>0</v>
      </c>
      <c r="I25" s="34">
        <f t="shared" si="2"/>
        <v>0</v>
      </c>
      <c r="J25" s="47"/>
    </row>
    <row r="26" spans="1:10" ht="24.75" customHeight="1">
      <c r="A26" s="112"/>
      <c r="B26" s="112"/>
      <c r="C26" s="65" t="s">
        <v>37</v>
      </c>
      <c r="D26" s="5"/>
      <c r="E26" s="5"/>
      <c r="F26" s="62"/>
      <c r="G26" s="7"/>
      <c r="H26" s="7"/>
      <c r="I26" s="18"/>
      <c r="J26" s="48"/>
    </row>
    <row r="27" spans="1:10" ht="24.75" customHeight="1">
      <c r="A27" s="112"/>
      <c r="B27" s="112"/>
      <c r="C27" s="67" t="s">
        <v>62</v>
      </c>
      <c r="D27" s="5"/>
      <c r="E27" s="5"/>
      <c r="F27" s="61"/>
      <c r="G27" s="6"/>
      <c r="H27" s="6"/>
      <c r="I27" s="22"/>
      <c r="J27" s="46"/>
    </row>
    <row r="28" spans="1:10" ht="15.75">
      <c r="A28" s="112"/>
      <c r="B28" s="112"/>
      <c r="C28" s="65" t="s">
        <v>39</v>
      </c>
      <c r="D28" s="5"/>
      <c r="E28" s="5"/>
      <c r="F28" s="62"/>
      <c r="G28" s="5"/>
      <c r="H28" s="5"/>
      <c r="I28" s="27"/>
      <c r="J28" s="43"/>
    </row>
    <row r="29" spans="1:10" ht="15.75">
      <c r="A29" s="112"/>
      <c r="B29" s="112"/>
      <c r="C29" s="65" t="s">
        <v>45</v>
      </c>
      <c r="D29" s="5"/>
      <c r="E29" s="5"/>
      <c r="F29" s="62"/>
      <c r="G29" s="5"/>
      <c r="H29" s="5"/>
      <c r="I29" s="27"/>
      <c r="J29" s="43"/>
    </row>
    <row r="30" spans="1:10" ht="67.5">
      <c r="A30" s="112"/>
      <c r="B30" s="112"/>
      <c r="C30" s="112" t="s">
        <v>40</v>
      </c>
      <c r="D30" s="8">
        <f>SUM(D31:D34)</f>
        <v>160</v>
      </c>
      <c r="E30" s="8">
        <f>SUM(E31:E34)</f>
        <v>0</v>
      </c>
      <c r="F30" s="18">
        <f aca="true" t="shared" si="3" ref="F30:F64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3">H30/G30</f>
        <v>0</v>
      </c>
      <c r="J30" s="48" t="s">
        <v>44</v>
      </c>
    </row>
    <row r="31" spans="1:10" ht="15.75">
      <c r="A31" s="112"/>
      <c r="B31" s="112"/>
      <c r="C31" s="112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46" t="s">
        <v>2</v>
      </c>
    </row>
    <row r="32" spans="1:10" ht="33.75">
      <c r="A32" s="112"/>
      <c r="B32" s="112"/>
      <c r="C32" s="112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46" t="s">
        <v>3</v>
      </c>
    </row>
    <row r="33" spans="1:10" ht="22.5">
      <c r="A33" s="112"/>
      <c r="B33" s="112"/>
      <c r="C33" s="112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46" t="s">
        <v>4</v>
      </c>
    </row>
    <row r="34" spans="1:10" ht="15.75">
      <c r="A34" s="112"/>
      <c r="B34" s="112"/>
      <c r="C34" s="112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46" t="s">
        <v>5</v>
      </c>
    </row>
    <row r="35" spans="1:10" ht="21.75" customHeight="1">
      <c r="A35" s="112" t="s">
        <v>79</v>
      </c>
      <c r="B35" s="112" t="s">
        <v>19</v>
      </c>
      <c r="C35" s="38" t="s">
        <v>36</v>
      </c>
      <c r="D35" s="33">
        <f>D36+D38+D44+D45+D46+D47</f>
        <v>24172.997519999997</v>
      </c>
      <c r="E35" s="33">
        <f>E36+E38+E44+E45+E46+E47</f>
        <v>10686.411490000002</v>
      </c>
      <c r="F35" s="34">
        <f t="shared" si="3"/>
        <v>0.44208052729738595</v>
      </c>
      <c r="G35" s="33">
        <f>G36+G38+G44+G45+G46+G47</f>
        <v>24172.997519999997</v>
      </c>
      <c r="H35" s="33">
        <f>H36+H38+H44+H45+H46+H47</f>
        <v>14641.119910000001</v>
      </c>
      <c r="I35" s="34">
        <f t="shared" si="4"/>
        <v>0.6056807765725533</v>
      </c>
      <c r="J35" s="47"/>
    </row>
    <row r="36" spans="1:10" ht="24.75" customHeight="1" hidden="1">
      <c r="A36" s="112"/>
      <c r="B36" s="112"/>
      <c r="C36" s="113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43"/>
    </row>
    <row r="37" spans="1:10" ht="15.75" hidden="1">
      <c r="A37" s="112"/>
      <c r="B37" s="112"/>
      <c r="C37" s="114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48"/>
    </row>
    <row r="38" spans="1:10" ht="24.75" customHeight="1">
      <c r="A38" s="112"/>
      <c r="B38" s="112"/>
      <c r="C38" s="115" t="s">
        <v>38</v>
      </c>
      <c r="D38" s="7">
        <f>SUM(D40:D43)</f>
        <v>2220.7</v>
      </c>
      <c r="E38" s="7">
        <f>SUM(E40:E43)</f>
        <v>968.3564</v>
      </c>
      <c r="F38" s="18">
        <f t="shared" si="3"/>
        <v>0.4360590804701221</v>
      </c>
      <c r="G38" s="7">
        <f>SUM(G40:G43)</f>
        <v>2220.7</v>
      </c>
      <c r="H38" s="7">
        <f>SUM(H40:H43)</f>
        <v>968.3564</v>
      </c>
      <c r="I38" s="18">
        <f t="shared" si="4"/>
        <v>0.4360590804701221</v>
      </c>
      <c r="J38" s="43"/>
    </row>
    <row r="39" spans="1:10" ht="46.5" customHeight="1">
      <c r="A39" s="112"/>
      <c r="B39" s="112"/>
      <c r="C39" s="116"/>
      <c r="D39" s="5">
        <v>600</v>
      </c>
      <c r="E39" s="5">
        <v>600</v>
      </c>
      <c r="F39" s="22">
        <f>E39/D39</f>
        <v>1</v>
      </c>
      <c r="G39" s="6">
        <f>D39</f>
        <v>600</v>
      </c>
      <c r="H39" s="6">
        <f>E39</f>
        <v>600</v>
      </c>
      <c r="I39" s="22">
        <f>H39/G39</f>
        <v>1</v>
      </c>
      <c r="J39" s="48" t="s">
        <v>114</v>
      </c>
    </row>
    <row r="40" spans="1:10" ht="57.75" customHeight="1">
      <c r="A40" s="112"/>
      <c r="B40" s="112"/>
      <c r="C40" s="116"/>
      <c r="D40" s="5">
        <v>484.9</v>
      </c>
      <c r="E40" s="5">
        <v>484.9</v>
      </c>
      <c r="F40" s="22">
        <f t="shared" si="3"/>
        <v>1</v>
      </c>
      <c r="G40" s="6">
        <f aca="true" t="shared" si="6" ref="G40:H46">D40</f>
        <v>484.9</v>
      </c>
      <c r="H40" s="6">
        <f t="shared" si="6"/>
        <v>484.9</v>
      </c>
      <c r="I40" s="22">
        <f t="shared" si="4"/>
        <v>1</v>
      </c>
      <c r="J40" s="49" t="s">
        <v>99</v>
      </c>
    </row>
    <row r="41" spans="1:10" ht="90">
      <c r="A41" s="112"/>
      <c r="B41" s="112"/>
      <c r="C41" s="116"/>
      <c r="D41" s="5">
        <f>208.86+112.94</f>
        <v>321.8</v>
      </c>
      <c r="E41" s="5">
        <f>208.86+112.94</f>
        <v>321.8</v>
      </c>
      <c r="F41" s="22">
        <f t="shared" si="3"/>
        <v>1</v>
      </c>
      <c r="G41" s="6">
        <f t="shared" si="6"/>
        <v>321.8</v>
      </c>
      <c r="H41" s="6">
        <f>E41</f>
        <v>321.8</v>
      </c>
      <c r="I41" s="22">
        <f t="shared" si="4"/>
        <v>1</v>
      </c>
      <c r="J41" s="49" t="s">
        <v>83</v>
      </c>
    </row>
    <row r="42" spans="1:10" ht="38.25" customHeight="1">
      <c r="A42" s="112"/>
      <c r="B42" s="112"/>
      <c r="C42" s="116"/>
      <c r="D42" s="5">
        <v>350</v>
      </c>
      <c r="E42" s="5">
        <v>161.6564</v>
      </c>
      <c r="F42" s="22">
        <f t="shared" si="3"/>
        <v>0.46187542857142855</v>
      </c>
      <c r="G42" s="6">
        <f t="shared" si="6"/>
        <v>350</v>
      </c>
      <c r="H42" s="6">
        <f t="shared" si="6"/>
        <v>161.6564</v>
      </c>
      <c r="I42" s="22">
        <f t="shared" si="4"/>
        <v>0.46187542857142855</v>
      </c>
      <c r="J42" s="46" t="s">
        <v>84</v>
      </c>
    </row>
    <row r="43" spans="1:10" ht="51" customHeight="1">
      <c r="A43" s="112"/>
      <c r="B43" s="112"/>
      <c r="C43" s="66"/>
      <c r="D43" s="5">
        <v>1064</v>
      </c>
      <c r="E43" s="5"/>
      <c r="F43" s="22">
        <f t="shared" si="3"/>
        <v>0</v>
      </c>
      <c r="G43" s="6">
        <f t="shared" si="6"/>
        <v>1064</v>
      </c>
      <c r="H43" s="6"/>
      <c r="I43" s="22">
        <f t="shared" si="4"/>
        <v>0</v>
      </c>
      <c r="J43" s="46" t="s">
        <v>100</v>
      </c>
    </row>
    <row r="44" spans="1:10" ht="108.75" customHeight="1" hidden="1" outlineLevel="1">
      <c r="A44" s="112"/>
      <c r="B44" s="112"/>
      <c r="C44" s="65" t="s">
        <v>39</v>
      </c>
      <c r="D44" s="5">
        <v>0</v>
      </c>
      <c r="E44" s="5">
        <v>0</v>
      </c>
      <c r="F44" s="22" t="e">
        <f t="shared" si="3"/>
        <v>#DIV/0!</v>
      </c>
      <c r="G44" s="6">
        <f t="shared" si="6"/>
        <v>0</v>
      </c>
      <c r="H44" s="6">
        <f t="shared" si="6"/>
        <v>0</v>
      </c>
      <c r="I44" s="22" t="e">
        <f>H44/G44</f>
        <v>#DIV/0!</v>
      </c>
      <c r="J44" s="46"/>
    </row>
    <row r="45" spans="1:10" ht="23.25" customHeight="1" collapsed="1">
      <c r="A45" s="112"/>
      <c r="B45" s="112"/>
      <c r="C45" s="109" t="s">
        <v>45</v>
      </c>
      <c r="D45" s="5">
        <v>499.8</v>
      </c>
      <c r="E45" s="5">
        <v>0</v>
      </c>
      <c r="F45" s="22"/>
      <c r="G45" s="6">
        <f t="shared" si="6"/>
        <v>499.8</v>
      </c>
      <c r="H45" s="6">
        <f t="shared" si="6"/>
        <v>0</v>
      </c>
      <c r="I45" s="22"/>
      <c r="J45" s="64" t="s">
        <v>115</v>
      </c>
    </row>
    <row r="46" spans="1:10" ht="21.75" customHeight="1">
      <c r="A46" s="112"/>
      <c r="B46" s="112"/>
      <c r="C46" s="117"/>
      <c r="D46" s="5">
        <v>805</v>
      </c>
      <c r="E46" s="5">
        <v>805</v>
      </c>
      <c r="F46" s="22">
        <f t="shared" si="3"/>
        <v>1</v>
      </c>
      <c r="G46" s="6">
        <f t="shared" si="6"/>
        <v>805</v>
      </c>
      <c r="H46" s="6">
        <f t="shared" si="6"/>
        <v>805</v>
      </c>
      <c r="I46" s="22">
        <f>H46/G46</f>
        <v>1</v>
      </c>
      <c r="J46" s="68" t="s">
        <v>116</v>
      </c>
    </row>
    <row r="47" spans="1:10" ht="136.5" customHeight="1">
      <c r="A47" s="112"/>
      <c r="B47" s="112"/>
      <c r="C47" s="109" t="s">
        <v>40</v>
      </c>
      <c r="D47" s="8">
        <f>SUM(D48:D64)</f>
        <v>20647.497519999997</v>
      </c>
      <c r="E47" s="8">
        <f>SUM(E48:E64)</f>
        <v>8913.055090000002</v>
      </c>
      <c r="F47" s="18">
        <f>E47/D47</f>
        <v>0.43167725683785446</v>
      </c>
      <c r="G47" s="8">
        <f>SUM(G48:G64)</f>
        <v>20647.497519999997</v>
      </c>
      <c r="H47" s="8">
        <f>SUM(H48:H64)</f>
        <v>12867.76351</v>
      </c>
      <c r="I47" s="18">
        <f aca="true" t="shared" si="7" ref="I47:I105">H47/G47</f>
        <v>0.6232117716704296</v>
      </c>
      <c r="J47" s="44" t="s">
        <v>20</v>
      </c>
    </row>
    <row r="48" spans="1:10" ht="33.75">
      <c r="A48" s="112"/>
      <c r="B48" s="112"/>
      <c r="C48" s="110"/>
      <c r="D48" s="5">
        <v>700</v>
      </c>
      <c r="E48" s="5">
        <f>68</f>
        <v>68</v>
      </c>
      <c r="F48" s="22">
        <f t="shared" si="3"/>
        <v>0.09714285714285714</v>
      </c>
      <c r="G48" s="6">
        <f aca="true" t="shared" si="8" ref="G48:H64">D48</f>
        <v>700</v>
      </c>
      <c r="H48" s="6">
        <f>391.29082+68</f>
        <v>459.29082</v>
      </c>
      <c r="I48" s="22">
        <f t="shared" si="7"/>
        <v>0.6561297428571429</v>
      </c>
      <c r="J48" s="46" t="s">
        <v>49</v>
      </c>
    </row>
    <row r="49" spans="1:10" ht="22.5">
      <c r="A49" s="112"/>
      <c r="B49" s="112"/>
      <c r="C49" s="110"/>
      <c r="D49" s="5">
        <v>150</v>
      </c>
      <c r="E49" s="5">
        <v>0</v>
      </c>
      <c r="F49" s="22">
        <f t="shared" si="3"/>
        <v>0</v>
      </c>
      <c r="G49" s="6">
        <f t="shared" si="8"/>
        <v>150</v>
      </c>
      <c r="H49" s="6">
        <f t="shared" si="8"/>
        <v>0</v>
      </c>
      <c r="I49" s="22">
        <f t="shared" si="7"/>
        <v>0</v>
      </c>
      <c r="J49" s="46" t="s">
        <v>12</v>
      </c>
    </row>
    <row r="50" spans="1:10" ht="22.5">
      <c r="A50" s="112"/>
      <c r="B50" s="112"/>
      <c r="C50" s="110"/>
      <c r="D50" s="5">
        <v>3300.72594</v>
      </c>
      <c r="E50" s="5">
        <f>1906.82677+59.2</f>
        <v>1966.02677</v>
      </c>
      <c r="F50" s="22">
        <f t="shared" si="3"/>
        <v>0.5956346590835105</v>
      </c>
      <c r="G50" s="6">
        <f t="shared" si="8"/>
        <v>3300.72594</v>
      </c>
      <c r="H50" s="6">
        <f>E50+165.24</f>
        <v>2131.26677</v>
      </c>
      <c r="I50" s="22">
        <f t="shared" si="7"/>
        <v>0.6456963736892377</v>
      </c>
      <c r="J50" s="46" t="s">
        <v>70</v>
      </c>
    </row>
    <row r="51" spans="1:10" ht="78.75">
      <c r="A51" s="112"/>
      <c r="B51" s="112"/>
      <c r="C51" s="110"/>
      <c r="D51" s="5">
        <v>130.55</v>
      </c>
      <c r="E51" s="5">
        <v>87.384</v>
      </c>
      <c r="F51" s="22">
        <f t="shared" si="3"/>
        <v>0.6693527384144006</v>
      </c>
      <c r="G51" s="6">
        <f t="shared" si="8"/>
        <v>130.55</v>
      </c>
      <c r="H51" s="6">
        <f>87.384+41.06</f>
        <v>128.44400000000002</v>
      </c>
      <c r="I51" s="22">
        <f t="shared" si="7"/>
        <v>0.9838682497127538</v>
      </c>
      <c r="J51" s="49" t="s">
        <v>85</v>
      </c>
    </row>
    <row r="52" spans="1:10" ht="56.25" hidden="1">
      <c r="A52" s="112"/>
      <c r="B52" s="112"/>
      <c r="C52" s="110"/>
      <c r="D52" s="5">
        <v>0</v>
      </c>
      <c r="E52" s="5">
        <v>0</v>
      </c>
      <c r="F52" s="22" t="e">
        <f t="shared" si="3"/>
        <v>#DIV/0!</v>
      </c>
      <c r="G52" s="6">
        <f t="shared" si="8"/>
        <v>0</v>
      </c>
      <c r="H52" s="6">
        <f t="shared" si="8"/>
        <v>0</v>
      </c>
      <c r="I52" s="22" t="e">
        <f t="shared" si="7"/>
        <v>#DIV/0!</v>
      </c>
      <c r="J52" s="46" t="s">
        <v>82</v>
      </c>
    </row>
    <row r="53" spans="1:10" ht="56.25">
      <c r="A53" s="112"/>
      <c r="B53" s="112"/>
      <c r="C53" s="110"/>
      <c r="D53" s="5">
        <v>1000.634</v>
      </c>
      <c r="E53" s="5">
        <v>800.08691</v>
      </c>
      <c r="F53" s="22">
        <f t="shared" si="3"/>
        <v>0.799579976295029</v>
      </c>
      <c r="G53" s="6">
        <f t="shared" si="8"/>
        <v>1000.634</v>
      </c>
      <c r="H53" s="6">
        <f>E53</f>
        <v>800.08691</v>
      </c>
      <c r="I53" s="22">
        <f t="shared" si="7"/>
        <v>0.799579976295029</v>
      </c>
      <c r="J53" s="46" t="s">
        <v>103</v>
      </c>
    </row>
    <row r="54" spans="1:10" ht="45">
      <c r="A54" s="112"/>
      <c r="B54" s="112"/>
      <c r="C54" s="110"/>
      <c r="D54" s="5">
        <v>581.03806</v>
      </c>
      <c r="E54" s="5"/>
      <c r="F54" s="22">
        <f t="shared" si="3"/>
        <v>0</v>
      </c>
      <c r="G54" s="6">
        <f t="shared" si="8"/>
        <v>581.03806</v>
      </c>
      <c r="H54" s="6"/>
      <c r="I54" s="22">
        <f t="shared" si="7"/>
        <v>0</v>
      </c>
      <c r="J54" s="46" t="s">
        <v>102</v>
      </c>
    </row>
    <row r="55" spans="1:10" ht="15.75">
      <c r="A55" s="112"/>
      <c r="B55" s="112"/>
      <c r="C55" s="110"/>
      <c r="D55" s="5">
        <v>250</v>
      </c>
      <c r="E55" s="5">
        <f>16.38703+13.79102</f>
        <v>30.17805</v>
      </c>
      <c r="F55" s="22">
        <f t="shared" si="3"/>
        <v>0.12071219999999999</v>
      </c>
      <c r="G55" s="6">
        <f t="shared" si="8"/>
        <v>250</v>
      </c>
      <c r="H55" s="6">
        <f>E55+35.98146</f>
        <v>66.15951</v>
      </c>
      <c r="I55" s="22">
        <f t="shared" si="7"/>
        <v>0.26463803999999996</v>
      </c>
      <c r="J55" s="46" t="s">
        <v>6</v>
      </c>
    </row>
    <row r="56" spans="1:10" ht="22.5">
      <c r="A56" s="112"/>
      <c r="B56" s="112"/>
      <c r="C56" s="110"/>
      <c r="D56" s="5">
        <v>840</v>
      </c>
      <c r="E56" s="5">
        <v>200.00379</v>
      </c>
      <c r="F56" s="22">
        <f t="shared" si="3"/>
        <v>0.23809975</v>
      </c>
      <c r="G56" s="6">
        <f t="shared" si="8"/>
        <v>840</v>
      </c>
      <c r="H56" s="6">
        <f>E56+333.33965</f>
        <v>533.34344</v>
      </c>
      <c r="I56" s="22">
        <f t="shared" si="7"/>
        <v>0.6349326666666667</v>
      </c>
      <c r="J56" s="46" t="s">
        <v>101</v>
      </c>
    </row>
    <row r="57" spans="1:10" ht="15.75">
      <c r="A57" s="112"/>
      <c r="B57" s="112"/>
      <c r="C57" s="110"/>
      <c r="D57" s="5">
        <v>150</v>
      </c>
      <c r="E57" s="5">
        <v>30.48668</v>
      </c>
      <c r="F57" s="22">
        <f t="shared" si="3"/>
        <v>0.20324453333333334</v>
      </c>
      <c r="G57" s="6">
        <f t="shared" si="8"/>
        <v>150</v>
      </c>
      <c r="H57" s="6">
        <f>E57+23.79305</f>
        <v>54.27973</v>
      </c>
      <c r="I57" s="22">
        <f t="shared" si="7"/>
        <v>0.3618648666666667</v>
      </c>
      <c r="J57" s="46" t="s">
        <v>7</v>
      </c>
    </row>
    <row r="58" spans="1:10" ht="22.5">
      <c r="A58" s="112"/>
      <c r="B58" s="112"/>
      <c r="C58" s="110"/>
      <c r="D58" s="5">
        <v>2000</v>
      </c>
      <c r="E58" s="5">
        <f>246.9794</f>
        <v>246.9794</v>
      </c>
      <c r="F58" s="22">
        <f t="shared" si="3"/>
        <v>0.1234897</v>
      </c>
      <c r="G58" s="6">
        <f t="shared" si="8"/>
        <v>2000</v>
      </c>
      <c r="H58" s="6">
        <f>E58+651.07729</f>
        <v>898.0566899999999</v>
      </c>
      <c r="I58" s="22">
        <f t="shared" si="7"/>
        <v>0.44902834499999994</v>
      </c>
      <c r="J58" s="46" t="s">
        <v>8</v>
      </c>
    </row>
    <row r="59" spans="1:10" ht="22.5">
      <c r="A59" s="112"/>
      <c r="B59" s="112"/>
      <c r="C59" s="110"/>
      <c r="D59" s="5">
        <v>100</v>
      </c>
      <c r="E59" s="5"/>
      <c r="F59" s="22">
        <f t="shared" si="3"/>
        <v>0</v>
      </c>
      <c r="G59" s="6">
        <f t="shared" si="8"/>
        <v>100</v>
      </c>
      <c r="H59" s="6">
        <v>79.22</v>
      </c>
      <c r="I59" s="22">
        <f t="shared" si="7"/>
        <v>0.7922</v>
      </c>
      <c r="J59" s="46" t="s">
        <v>9</v>
      </c>
    </row>
    <row r="60" spans="1:10" ht="22.5">
      <c r="A60" s="112"/>
      <c r="B60" s="112"/>
      <c r="C60" s="110"/>
      <c r="D60" s="5">
        <f>50+488.8</f>
        <v>538.8</v>
      </c>
      <c r="E60" s="5">
        <v>0</v>
      </c>
      <c r="F60" s="22">
        <f t="shared" si="3"/>
        <v>0</v>
      </c>
      <c r="G60" s="6">
        <f t="shared" si="8"/>
        <v>538.8</v>
      </c>
      <c r="H60" s="6">
        <f t="shared" si="8"/>
        <v>0</v>
      </c>
      <c r="I60" s="22">
        <f t="shared" si="7"/>
        <v>0</v>
      </c>
      <c r="J60" s="46" t="s">
        <v>10</v>
      </c>
    </row>
    <row r="61" spans="1:10" ht="22.5">
      <c r="A61" s="112"/>
      <c r="B61" s="112"/>
      <c r="C61" s="110"/>
      <c r="D61" s="5">
        <v>10351.10112</v>
      </c>
      <c r="E61" s="5">
        <f>7.65+4859.67274+57.28923+136.06+157.1116</f>
        <v>5217.7835700000005</v>
      </c>
      <c r="F61" s="22">
        <f t="shared" si="3"/>
        <v>0.5040800499879573</v>
      </c>
      <c r="G61" s="6">
        <f t="shared" si="8"/>
        <v>10351.10112</v>
      </c>
      <c r="H61" s="6">
        <f>E61+2076.01815</f>
        <v>7293.80172</v>
      </c>
      <c r="I61" s="22">
        <f t="shared" si="7"/>
        <v>0.7046401764839488</v>
      </c>
      <c r="J61" s="46" t="s">
        <v>11</v>
      </c>
    </row>
    <row r="62" spans="1:10" ht="22.5">
      <c r="A62" s="112"/>
      <c r="B62" s="112"/>
      <c r="C62" s="110"/>
      <c r="D62" s="5">
        <v>54.6484</v>
      </c>
      <c r="E62" s="5">
        <v>19.05461</v>
      </c>
      <c r="F62" s="22">
        <f t="shared" si="3"/>
        <v>0.3486764479838385</v>
      </c>
      <c r="G62" s="6">
        <f t="shared" si="8"/>
        <v>54.6484</v>
      </c>
      <c r="H62" s="6">
        <f>E62+26.72</f>
        <v>45.774609999999996</v>
      </c>
      <c r="I62" s="22">
        <f>H62/G62</f>
        <v>0.8376203145929249</v>
      </c>
      <c r="J62" s="46" t="s">
        <v>67</v>
      </c>
    </row>
    <row r="63" spans="1:10" ht="22.5">
      <c r="A63" s="112"/>
      <c r="B63" s="112"/>
      <c r="C63" s="110"/>
      <c r="D63" s="5">
        <v>350</v>
      </c>
      <c r="E63" s="5">
        <f>98.9+78.89</f>
        <v>177.79000000000002</v>
      </c>
      <c r="F63" s="22">
        <f t="shared" si="3"/>
        <v>0.5079714285714286</v>
      </c>
      <c r="G63" s="6">
        <f t="shared" si="8"/>
        <v>350</v>
      </c>
      <c r="H63" s="6">
        <f>E63+130.968</f>
        <v>308.75800000000004</v>
      </c>
      <c r="I63" s="22">
        <f>H63/G63</f>
        <v>0.8821657142857144</v>
      </c>
      <c r="J63" s="46" t="s">
        <v>24</v>
      </c>
    </row>
    <row r="64" spans="1:10" ht="33.75">
      <c r="A64" s="112"/>
      <c r="B64" s="112"/>
      <c r="C64" s="110"/>
      <c r="D64" s="5">
        <v>150</v>
      </c>
      <c r="E64" s="5">
        <v>69.28131</v>
      </c>
      <c r="F64" s="22">
        <f t="shared" si="3"/>
        <v>0.46187540000000005</v>
      </c>
      <c r="G64" s="6">
        <f t="shared" si="8"/>
        <v>150</v>
      </c>
      <c r="H64" s="6">
        <f t="shared" si="8"/>
        <v>69.28131</v>
      </c>
      <c r="I64" s="22">
        <f>H64/G64</f>
        <v>0.46187540000000005</v>
      </c>
      <c r="J64" s="46" t="s">
        <v>86</v>
      </c>
    </row>
    <row r="65" spans="1:10" ht="16.5" customHeight="1">
      <c r="A65" s="112" t="s">
        <v>80</v>
      </c>
      <c r="B65" s="112" t="s">
        <v>21</v>
      </c>
      <c r="C65" s="38" t="s">
        <v>36</v>
      </c>
      <c r="D65" s="33" t="e">
        <f>D66+D67+D72+D73+D74</f>
        <v>#REF!</v>
      </c>
      <c r="E65" s="33">
        <f>E66+E67+E72+E73+E74</f>
        <v>9870.588</v>
      </c>
      <c r="F65" s="34" t="e">
        <f>E65/D65</f>
        <v>#REF!</v>
      </c>
      <c r="G65" s="33">
        <f>G66+G67+G72+G73+G74</f>
        <v>19724.28</v>
      </c>
      <c r="H65" s="33">
        <f>H66+H67+H72+H73+H74</f>
        <v>16138.438000000002</v>
      </c>
      <c r="I65" s="34">
        <f t="shared" si="7"/>
        <v>0.8182016276386262</v>
      </c>
      <c r="J65" s="47"/>
    </row>
    <row r="66" spans="1:10" ht="21.75" customHeight="1">
      <c r="A66" s="112"/>
      <c r="B66" s="112"/>
      <c r="C66" s="65" t="s">
        <v>37</v>
      </c>
      <c r="D66" s="5"/>
      <c r="E66" s="5"/>
      <c r="F66" s="27"/>
      <c r="G66" s="5"/>
      <c r="H66" s="5"/>
      <c r="I66" s="27"/>
      <c r="J66" s="43"/>
    </row>
    <row r="67" spans="1:10" ht="17.25" customHeight="1">
      <c r="A67" s="112"/>
      <c r="B67" s="112"/>
      <c r="C67" s="112" t="s">
        <v>38</v>
      </c>
      <c r="D67" s="7" t="e">
        <f>SUM(D68:D71)</f>
        <v>#REF!</v>
      </c>
      <c r="E67" s="7">
        <f>SUM(E68:E71)</f>
        <v>5807.39</v>
      </c>
      <c r="F67" s="18" t="e">
        <f>E67/D67</f>
        <v>#REF!</v>
      </c>
      <c r="G67" s="7">
        <f>SUM(G68:G71)</f>
        <v>6376.780000000001</v>
      </c>
      <c r="H67" s="7">
        <f>SUM(H68:H71)</f>
        <v>5807.39</v>
      </c>
      <c r="I67" s="18">
        <f t="shared" si="7"/>
        <v>0.9107088530574992</v>
      </c>
      <c r="J67" s="43"/>
    </row>
    <row r="68" spans="1:10" ht="74.25" customHeight="1">
      <c r="A68" s="112"/>
      <c r="B68" s="112"/>
      <c r="C68" s="112"/>
      <c r="D68" s="5">
        <v>2163.7</v>
      </c>
      <c r="E68" s="5">
        <v>1622.79</v>
      </c>
      <c r="F68" s="22">
        <f>E68/D68</f>
        <v>0.7500069325692102</v>
      </c>
      <c r="G68" s="6">
        <f aca="true" t="shared" si="9" ref="G68:H71">D68</f>
        <v>2163.7</v>
      </c>
      <c r="H68" s="6">
        <v>1622.79</v>
      </c>
      <c r="I68" s="22">
        <f>H68/G68</f>
        <v>0.7500069325692102</v>
      </c>
      <c r="J68" s="46" t="s">
        <v>56</v>
      </c>
    </row>
    <row r="69" spans="1:10" ht="72.75" customHeight="1">
      <c r="A69" s="112"/>
      <c r="B69" s="112"/>
      <c r="C69" s="112"/>
      <c r="D69" s="5">
        <v>113.9</v>
      </c>
      <c r="E69" s="5">
        <v>85.42</v>
      </c>
      <c r="F69" s="22">
        <f>E69/D69</f>
        <v>0.7499561018437225</v>
      </c>
      <c r="G69" s="6">
        <f t="shared" si="9"/>
        <v>113.9</v>
      </c>
      <c r="H69" s="6">
        <v>85.42</v>
      </c>
      <c r="I69" s="22">
        <f>H69/G69</f>
        <v>0.7499561018437225</v>
      </c>
      <c r="J69" s="46" t="s">
        <v>57</v>
      </c>
    </row>
    <row r="70" spans="1:10" ht="22.5" hidden="1" outlineLevel="1">
      <c r="A70" s="112"/>
      <c r="B70" s="112"/>
      <c r="C70" s="112"/>
      <c r="D70" s="5" t="e">
        <f>#REF!</f>
        <v>#REF!</v>
      </c>
      <c r="E70" s="5"/>
      <c r="F70" s="22"/>
      <c r="G70" s="6"/>
      <c r="H70" s="6"/>
      <c r="I70" s="22" t="e">
        <f>H70/G70</f>
        <v>#DIV/0!</v>
      </c>
      <c r="J70" s="46" t="s">
        <v>55</v>
      </c>
    </row>
    <row r="71" spans="1:10" ht="29.25" customHeight="1" collapsed="1">
      <c r="A71" s="112"/>
      <c r="B71" s="112"/>
      <c r="C71" s="112"/>
      <c r="D71" s="5">
        <v>4099.18</v>
      </c>
      <c r="E71" s="5">
        <v>4099.18</v>
      </c>
      <c r="F71" s="22">
        <f>E71/D71</f>
        <v>1</v>
      </c>
      <c r="G71" s="6">
        <f t="shared" si="9"/>
        <v>4099.18</v>
      </c>
      <c r="H71" s="6">
        <f t="shared" si="9"/>
        <v>4099.18</v>
      </c>
      <c r="I71" s="22">
        <f>H71/G71</f>
        <v>1</v>
      </c>
      <c r="J71" s="46" t="s">
        <v>65</v>
      </c>
    </row>
    <row r="72" spans="1:10" ht="15.75">
      <c r="A72" s="112"/>
      <c r="B72" s="112"/>
      <c r="C72" s="65" t="s">
        <v>39</v>
      </c>
      <c r="D72" s="5"/>
      <c r="E72" s="5"/>
      <c r="F72" s="62"/>
      <c r="G72" s="5"/>
      <c r="H72" s="5"/>
      <c r="I72" s="27"/>
      <c r="J72" s="43"/>
    </row>
    <row r="73" spans="1:10" ht="15.75">
      <c r="A73" s="112"/>
      <c r="B73" s="112"/>
      <c r="C73" s="65" t="s">
        <v>45</v>
      </c>
      <c r="D73" s="5"/>
      <c r="E73" s="5"/>
      <c r="F73" s="22"/>
      <c r="G73" s="5"/>
      <c r="H73" s="5">
        <f>E73</f>
        <v>0</v>
      </c>
      <c r="I73" s="22"/>
      <c r="J73" s="43"/>
    </row>
    <row r="74" spans="1:10" ht="66.75" customHeight="1">
      <c r="A74" s="112"/>
      <c r="B74" s="112"/>
      <c r="C74" s="112" t="s">
        <v>40</v>
      </c>
      <c r="D74" s="58">
        <f>SUM(D75:D83)</f>
        <v>13347.5</v>
      </c>
      <c r="E74" s="58">
        <f>SUM(E75:E83)</f>
        <v>4063.1979999999994</v>
      </c>
      <c r="F74" s="18">
        <f>E74/D74</f>
        <v>0.30441640756696003</v>
      </c>
      <c r="G74" s="58">
        <f>SUM(G75:G83)</f>
        <v>13347.5</v>
      </c>
      <c r="H74" s="58">
        <f>SUM(H75:H83)</f>
        <v>10331.048</v>
      </c>
      <c r="I74" s="18">
        <f t="shared" si="7"/>
        <v>0.7740062183929576</v>
      </c>
      <c r="J74" s="44" t="s">
        <v>22</v>
      </c>
    </row>
    <row r="75" spans="1:10" ht="33.75">
      <c r="A75" s="112"/>
      <c r="B75" s="112"/>
      <c r="C75" s="112"/>
      <c r="D75" s="5">
        <v>9499.24</v>
      </c>
      <c r="E75" s="5">
        <f>H75-5749.38</f>
        <v>1849.3199999999997</v>
      </c>
      <c r="F75" s="22">
        <f aca="true" t="shared" si="10" ref="F75:F105">E75/D75</f>
        <v>0.1946808376249047</v>
      </c>
      <c r="G75" s="6">
        <f aca="true" t="shared" si="11" ref="G75:H83">D75</f>
        <v>9499.24</v>
      </c>
      <c r="H75" s="6">
        <v>7598.7</v>
      </c>
      <c r="I75" s="22">
        <f t="shared" si="7"/>
        <v>0.7999271520669022</v>
      </c>
      <c r="J75" s="46" t="s">
        <v>26</v>
      </c>
    </row>
    <row r="76" spans="1:10" ht="22.5">
      <c r="A76" s="112"/>
      <c r="B76" s="112"/>
      <c r="C76" s="112"/>
      <c r="D76" s="5">
        <v>210</v>
      </c>
      <c r="E76" s="5">
        <v>64.318</v>
      </c>
      <c r="F76" s="22">
        <f t="shared" si="10"/>
        <v>0.3062761904761905</v>
      </c>
      <c r="G76" s="6">
        <f t="shared" si="11"/>
        <v>210</v>
      </c>
      <c r="H76" s="6">
        <f t="shared" si="11"/>
        <v>64.318</v>
      </c>
      <c r="I76" s="22">
        <f t="shared" si="7"/>
        <v>0.3062761904761905</v>
      </c>
      <c r="J76" s="46" t="s">
        <v>27</v>
      </c>
    </row>
    <row r="77" spans="1:10" ht="33.75">
      <c r="A77" s="112"/>
      <c r="B77" s="112"/>
      <c r="C77" s="112"/>
      <c r="D77" s="5">
        <v>607.9</v>
      </c>
      <c r="E77" s="5">
        <v>191.89</v>
      </c>
      <c r="F77" s="22">
        <f t="shared" si="10"/>
        <v>0.3156604704721171</v>
      </c>
      <c r="G77" s="6">
        <f t="shared" si="11"/>
        <v>607.9</v>
      </c>
      <c r="H77" s="6">
        <f>E77+329.06</f>
        <v>520.95</v>
      </c>
      <c r="I77" s="22">
        <f t="shared" si="7"/>
        <v>0.8569666063497287</v>
      </c>
      <c r="J77" s="46" t="s">
        <v>28</v>
      </c>
    </row>
    <row r="78" spans="1:10" ht="22.5">
      <c r="A78" s="112"/>
      <c r="B78" s="112"/>
      <c r="C78" s="112"/>
      <c r="D78" s="5">
        <v>52.23</v>
      </c>
      <c r="E78" s="5">
        <v>0</v>
      </c>
      <c r="F78" s="22">
        <f t="shared" si="10"/>
        <v>0</v>
      </c>
      <c r="G78" s="6">
        <f t="shared" si="11"/>
        <v>52.23</v>
      </c>
      <c r="H78" s="6">
        <f t="shared" si="11"/>
        <v>0</v>
      </c>
      <c r="I78" s="22">
        <f t="shared" si="7"/>
        <v>0</v>
      </c>
      <c r="J78" s="46" t="s">
        <v>29</v>
      </c>
    </row>
    <row r="79" spans="1:10" ht="78.75">
      <c r="A79" s="112"/>
      <c r="B79" s="112"/>
      <c r="C79" s="112"/>
      <c r="D79" s="5">
        <v>2163.7</v>
      </c>
      <c r="E79" s="5">
        <v>1442.6</v>
      </c>
      <c r="F79" s="22">
        <f>E79/D79</f>
        <v>0.6667282895040902</v>
      </c>
      <c r="G79" s="6">
        <f t="shared" si="11"/>
        <v>2163.7</v>
      </c>
      <c r="H79" s="6">
        <f t="shared" si="11"/>
        <v>1442.6</v>
      </c>
      <c r="I79" s="22">
        <f>H79/G79</f>
        <v>0.6667282895040902</v>
      </c>
      <c r="J79" s="46" t="s">
        <v>56</v>
      </c>
    </row>
    <row r="80" spans="1:10" ht="78.75">
      <c r="A80" s="112"/>
      <c r="B80" s="112"/>
      <c r="C80" s="112"/>
      <c r="D80" s="5">
        <v>113.9</v>
      </c>
      <c r="E80" s="5"/>
      <c r="F80" s="22">
        <f>E80/D80</f>
        <v>0</v>
      </c>
      <c r="G80" s="6">
        <f t="shared" si="11"/>
        <v>113.9</v>
      </c>
      <c r="H80" s="6">
        <v>76</v>
      </c>
      <c r="I80" s="22">
        <f>H80/G80</f>
        <v>0.6672519754170324</v>
      </c>
      <c r="J80" s="46" t="s">
        <v>57</v>
      </c>
    </row>
    <row r="81" spans="1:10" ht="22.5">
      <c r="A81" s="112"/>
      <c r="B81" s="112"/>
      <c r="C81" s="112"/>
      <c r="D81" s="5">
        <v>120</v>
      </c>
      <c r="E81" s="5">
        <f>24.54</f>
        <v>24.54</v>
      </c>
      <c r="F81" s="22">
        <f t="shared" si="10"/>
        <v>0.2045</v>
      </c>
      <c r="G81" s="6">
        <f t="shared" si="11"/>
        <v>120</v>
      </c>
      <c r="H81" s="6">
        <f>24.54+53.41</f>
        <v>77.94999999999999</v>
      </c>
      <c r="I81" s="22">
        <f t="shared" si="7"/>
        <v>0.6495833333333333</v>
      </c>
      <c r="J81" s="46" t="s">
        <v>13</v>
      </c>
    </row>
    <row r="82" spans="1:10" ht="22.5">
      <c r="A82" s="112"/>
      <c r="B82" s="112"/>
      <c r="C82" s="112"/>
      <c r="D82" s="5">
        <v>120</v>
      </c>
      <c r="E82" s="5">
        <v>30</v>
      </c>
      <c r="F82" s="22">
        <f t="shared" si="10"/>
        <v>0.25</v>
      </c>
      <c r="G82" s="6">
        <f t="shared" si="11"/>
        <v>120</v>
      </c>
      <c r="H82" s="6">
        <v>90</v>
      </c>
      <c r="I82" s="22">
        <f>H82/G82</f>
        <v>0.75</v>
      </c>
      <c r="J82" s="46" t="s">
        <v>66</v>
      </c>
    </row>
    <row r="83" spans="1:12" ht="52.5" customHeight="1">
      <c r="A83" s="112"/>
      <c r="B83" s="112"/>
      <c r="C83" s="112"/>
      <c r="D83" s="5">
        <v>460.53</v>
      </c>
      <c r="E83" s="5">
        <v>460.53</v>
      </c>
      <c r="F83" s="22">
        <f t="shared" si="10"/>
        <v>1</v>
      </c>
      <c r="G83" s="6">
        <f t="shared" si="11"/>
        <v>460.53</v>
      </c>
      <c r="H83" s="6">
        <f t="shared" si="11"/>
        <v>460.53</v>
      </c>
      <c r="I83" s="22">
        <f t="shared" si="7"/>
        <v>1</v>
      </c>
      <c r="J83" s="46" t="s">
        <v>64</v>
      </c>
      <c r="L83" s="54"/>
    </row>
    <row r="84" spans="1:10" ht="16.5" customHeight="1">
      <c r="A84" s="109" t="s">
        <v>81</v>
      </c>
      <c r="B84" s="109" t="s">
        <v>43</v>
      </c>
      <c r="C84" s="38" t="s">
        <v>36</v>
      </c>
      <c r="D84" s="33">
        <f aca="true" t="shared" si="12" ref="D84:I84">D85+D88+D89+D90+D86+D87</f>
        <v>7645.29096</v>
      </c>
      <c r="E84" s="33">
        <f t="shared" si="12"/>
        <v>3197.17315</v>
      </c>
      <c r="F84" s="33">
        <f t="shared" si="12"/>
        <v>4.553383283942135</v>
      </c>
      <c r="G84" s="33">
        <f t="shared" si="12"/>
        <v>7645.29096</v>
      </c>
      <c r="H84" s="33">
        <f t="shared" si="12"/>
        <v>5393.90415</v>
      </c>
      <c r="I84" s="33">
        <f t="shared" si="12"/>
        <v>5.023772391635734</v>
      </c>
      <c r="J84" s="47"/>
    </row>
    <row r="85" spans="1:10" ht="24.75" customHeight="1">
      <c r="A85" s="110"/>
      <c r="B85" s="110"/>
      <c r="C85" s="65" t="s">
        <v>37</v>
      </c>
      <c r="D85" s="5">
        <v>409.3681</v>
      </c>
      <c r="E85" s="5">
        <v>309.0729</v>
      </c>
      <c r="F85" s="22">
        <f t="shared" si="10"/>
        <v>0.7549999621367663</v>
      </c>
      <c r="G85" s="6">
        <f aca="true" t="shared" si="13" ref="G85:H89">D85</f>
        <v>409.3681</v>
      </c>
      <c r="H85" s="6">
        <f t="shared" si="13"/>
        <v>309.0729</v>
      </c>
      <c r="I85" s="22">
        <f t="shared" si="7"/>
        <v>0.7549999621367663</v>
      </c>
      <c r="J85" s="106" t="s">
        <v>106</v>
      </c>
    </row>
    <row r="86" spans="1:10" ht="27" customHeight="1">
      <c r="A86" s="110"/>
      <c r="B86" s="110"/>
      <c r="C86" s="65" t="s">
        <v>104</v>
      </c>
      <c r="D86" s="5">
        <f>426.07697+1001.29548</f>
        <v>1427.37245</v>
      </c>
      <c r="E86" s="5">
        <f>944.72769+321.6881</f>
        <v>1266.41579</v>
      </c>
      <c r="F86" s="22">
        <f t="shared" si="10"/>
        <v>0.8872356966116307</v>
      </c>
      <c r="G86" s="6">
        <f t="shared" si="13"/>
        <v>1427.37245</v>
      </c>
      <c r="H86" s="6">
        <f t="shared" si="13"/>
        <v>1266.41579</v>
      </c>
      <c r="I86" s="22">
        <f t="shared" si="7"/>
        <v>0.8872356966116307</v>
      </c>
      <c r="J86" s="107"/>
    </row>
    <row r="87" spans="1:10" ht="38.25" customHeight="1">
      <c r="A87" s="110"/>
      <c r="B87" s="110"/>
      <c r="C87" s="65" t="s">
        <v>105</v>
      </c>
      <c r="D87" s="5">
        <v>1071.45493</v>
      </c>
      <c r="E87" s="5">
        <v>804.0488</v>
      </c>
      <c r="F87" s="22">
        <f t="shared" si="10"/>
        <v>0.7504270851598023</v>
      </c>
      <c r="G87" s="6">
        <f t="shared" si="13"/>
        <v>1071.45493</v>
      </c>
      <c r="H87" s="6">
        <f t="shared" si="13"/>
        <v>804.0488</v>
      </c>
      <c r="I87" s="22">
        <f t="shared" si="7"/>
        <v>0.7504270851598023</v>
      </c>
      <c r="J87" s="107"/>
    </row>
    <row r="88" spans="1:10" ht="24" customHeight="1">
      <c r="A88" s="110"/>
      <c r="B88" s="110"/>
      <c r="C88" s="65" t="s">
        <v>39</v>
      </c>
      <c r="D88" s="5">
        <v>20</v>
      </c>
      <c r="E88" s="5">
        <v>20</v>
      </c>
      <c r="F88" s="22">
        <f t="shared" si="10"/>
        <v>1</v>
      </c>
      <c r="G88" s="6">
        <f t="shared" si="13"/>
        <v>20</v>
      </c>
      <c r="H88" s="6">
        <f t="shared" si="13"/>
        <v>20</v>
      </c>
      <c r="I88" s="22">
        <f t="shared" si="7"/>
        <v>1</v>
      </c>
      <c r="J88" s="108"/>
    </row>
    <row r="89" spans="1:10" ht="30.75" customHeight="1">
      <c r="A89" s="110"/>
      <c r="B89" s="110"/>
      <c r="C89" s="65" t="s">
        <v>45</v>
      </c>
      <c r="D89" s="5">
        <v>47.066</v>
      </c>
      <c r="E89" s="5">
        <v>47.066</v>
      </c>
      <c r="F89" s="22">
        <f t="shared" si="10"/>
        <v>1</v>
      </c>
      <c r="G89" s="6">
        <f t="shared" si="13"/>
        <v>47.066</v>
      </c>
      <c r="H89" s="6">
        <f t="shared" si="13"/>
        <v>47.066</v>
      </c>
      <c r="I89" s="22">
        <f t="shared" si="7"/>
        <v>1</v>
      </c>
      <c r="J89" s="50" t="s">
        <v>46</v>
      </c>
    </row>
    <row r="90" spans="1:10" ht="127.5" customHeight="1">
      <c r="A90" s="110"/>
      <c r="B90" s="110"/>
      <c r="C90" s="109" t="s">
        <v>40</v>
      </c>
      <c r="D90" s="8">
        <f>SUM(D91:D96)</f>
        <v>4670.02948</v>
      </c>
      <c r="E90" s="8">
        <f>SUM(E91:E96)</f>
        <v>750.56966</v>
      </c>
      <c r="F90" s="18">
        <f t="shared" si="10"/>
        <v>0.1607205400339357</v>
      </c>
      <c r="G90" s="8">
        <f>SUM(G91:G96)</f>
        <v>4670.02948</v>
      </c>
      <c r="H90" s="8">
        <f>SUM(H91:H96)</f>
        <v>2947.30066</v>
      </c>
      <c r="I90" s="18">
        <f t="shared" si="7"/>
        <v>0.6311096477275342</v>
      </c>
      <c r="J90" s="44" t="s">
        <v>23</v>
      </c>
    </row>
    <row r="91" spans="1:10" ht="15.75">
      <c r="A91" s="110"/>
      <c r="B91" s="110"/>
      <c r="C91" s="110"/>
      <c r="D91" s="5">
        <v>61.7</v>
      </c>
      <c r="E91" s="5"/>
      <c r="F91" s="22">
        <f t="shared" si="10"/>
        <v>0</v>
      </c>
      <c r="G91" s="6">
        <f aca="true" t="shared" si="14" ref="G91:G96">D91</f>
        <v>61.7</v>
      </c>
      <c r="H91" s="6">
        <v>23.5</v>
      </c>
      <c r="I91" s="22">
        <f t="shared" si="7"/>
        <v>0.38087520259319285</v>
      </c>
      <c r="J91" s="46" t="s">
        <v>14</v>
      </c>
    </row>
    <row r="92" spans="1:10" ht="22.5">
      <c r="A92" s="110"/>
      <c r="B92" s="110"/>
      <c r="C92" s="110"/>
      <c r="D92" s="5">
        <v>457.034</v>
      </c>
      <c r="E92" s="5">
        <f>222.03492+90.42837</f>
        <v>312.46329000000003</v>
      </c>
      <c r="F92" s="22">
        <f t="shared" si="10"/>
        <v>0.683676247281384</v>
      </c>
      <c r="G92" s="6">
        <f t="shared" si="14"/>
        <v>457.034</v>
      </c>
      <c r="H92" s="6">
        <f>E92+73.131</f>
        <v>385.59429</v>
      </c>
      <c r="I92" s="22">
        <f>H92/G92</f>
        <v>0.843688412678269</v>
      </c>
      <c r="J92" s="46" t="s">
        <v>52</v>
      </c>
    </row>
    <row r="93" spans="1:10" ht="37.5" customHeight="1">
      <c r="A93" s="110"/>
      <c r="B93" s="110"/>
      <c r="C93" s="110"/>
      <c r="D93" s="5">
        <v>940</v>
      </c>
      <c r="E93" s="5">
        <f>H93-466</f>
        <v>238.5</v>
      </c>
      <c r="F93" s="22">
        <f t="shared" si="10"/>
        <v>0.25372340425531914</v>
      </c>
      <c r="G93" s="6">
        <f t="shared" si="14"/>
        <v>940</v>
      </c>
      <c r="H93" s="6">
        <v>704.5</v>
      </c>
      <c r="I93" s="22">
        <f>H93/G93</f>
        <v>0.749468085106383</v>
      </c>
      <c r="J93" s="46" t="s">
        <v>30</v>
      </c>
    </row>
    <row r="94" spans="1:10" ht="22.5">
      <c r="A94" s="110"/>
      <c r="B94" s="110"/>
      <c r="C94" s="110"/>
      <c r="D94" s="5">
        <v>150</v>
      </c>
      <c r="E94" s="5">
        <f>H94-75</f>
        <v>37.5</v>
      </c>
      <c r="F94" s="22">
        <f t="shared" si="10"/>
        <v>0.25</v>
      </c>
      <c r="G94" s="6">
        <f t="shared" si="14"/>
        <v>150</v>
      </c>
      <c r="H94" s="6">
        <v>112.5</v>
      </c>
      <c r="I94" s="22">
        <f t="shared" si="7"/>
        <v>0.75</v>
      </c>
      <c r="J94" s="46" t="s">
        <v>15</v>
      </c>
    </row>
    <row r="95" spans="1:10" ht="22.5">
      <c r="A95" s="110"/>
      <c r="B95" s="110"/>
      <c r="C95" s="110"/>
      <c r="D95" s="5">
        <f>1560+250</f>
        <v>1810</v>
      </c>
      <c r="E95" s="5">
        <f>114.30637+47.8</f>
        <v>162.10637</v>
      </c>
      <c r="F95" s="22">
        <f t="shared" si="10"/>
        <v>0.08956153038674033</v>
      </c>
      <c r="G95" s="6">
        <f t="shared" si="14"/>
        <v>1810</v>
      </c>
      <c r="H95" s="6">
        <f>1721.20637</f>
        <v>1721.20637</v>
      </c>
      <c r="I95" s="22">
        <f t="shared" si="7"/>
        <v>0.9509427458563536</v>
      </c>
      <c r="J95" s="46" t="s">
        <v>107</v>
      </c>
    </row>
    <row r="96" spans="1:10" ht="75" customHeight="1">
      <c r="A96" s="111"/>
      <c r="B96" s="111"/>
      <c r="C96" s="111"/>
      <c r="D96" s="5">
        <v>1251.29548</v>
      </c>
      <c r="E96" s="5">
        <v>0</v>
      </c>
      <c r="F96" s="22">
        <f t="shared" si="10"/>
        <v>0</v>
      </c>
      <c r="G96" s="6">
        <f t="shared" si="14"/>
        <v>1251.29548</v>
      </c>
      <c r="H96" s="6">
        <v>0</v>
      </c>
      <c r="I96" s="22">
        <f t="shared" si="7"/>
        <v>0</v>
      </c>
      <c r="J96" s="55" t="s">
        <v>108</v>
      </c>
    </row>
    <row r="97" spans="1:10" ht="43.5" customHeight="1">
      <c r="A97" s="109" t="s">
        <v>91</v>
      </c>
      <c r="B97" s="109"/>
      <c r="C97" s="109" t="s">
        <v>40</v>
      </c>
      <c r="D97" s="8">
        <f>SUM(D98:D99)</f>
        <v>0</v>
      </c>
      <c r="E97" s="8">
        <f>SUM(E98:E99)</f>
        <v>0</v>
      </c>
      <c r="F97" s="18" t="e">
        <f t="shared" si="10"/>
        <v>#DIV/0!</v>
      </c>
      <c r="G97" s="8">
        <f>SUM(G98:G99)</f>
        <v>0</v>
      </c>
      <c r="H97" s="8">
        <f>SUM(H98:H99)</f>
        <v>0</v>
      </c>
      <c r="I97" s="18" t="e">
        <f t="shared" si="7"/>
        <v>#DIV/0!</v>
      </c>
      <c r="J97" s="51" t="s">
        <v>92</v>
      </c>
    </row>
    <row r="98" spans="1:10" ht="45">
      <c r="A98" s="110"/>
      <c r="B98" s="110"/>
      <c r="C98" s="110"/>
      <c r="D98" s="5"/>
      <c r="E98" s="5"/>
      <c r="F98" s="22" t="e">
        <f t="shared" si="10"/>
        <v>#DIV/0!</v>
      </c>
      <c r="G98" s="6">
        <f>D98</f>
        <v>0</v>
      </c>
      <c r="H98" s="6">
        <f>E98</f>
        <v>0</v>
      </c>
      <c r="I98" s="22" t="e">
        <f>H98/G98</f>
        <v>#DIV/0!</v>
      </c>
      <c r="J98" s="46" t="s">
        <v>93</v>
      </c>
    </row>
    <row r="99" spans="1:10" ht="51.75" customHeight="1">
      <c r="A99" s="111"/>
      <c r="B99" s="111"/>
      <c r="C99" s="111"/>
      <c r="D99" s="5"/>
      <c r="E99" s="5"/>
      <c r="F99" s="22" t="e">
        <f t="shared" si="10"/>
        <v>#DIV/0!</v>
      </c>
      <c r="G99" s="6">
        <f>D99</f>
        <v>0</v>
      </c>
      <c r="H99" s="6">
        <f>E99</f>
        <v>0</v>
      </c>
      <c r="I99" s="22" t="e">
        <f>H99/G99</f>
        <v>#DIV/0!</v>
      </c>
      <c r="J99" s="46" t="s">
        <v>94</v>
      </c>
    </row>
    <row r="100" spans="1:10" ht="16.5" customHeight="1">
      <c r="A100" s="112" t="s">
        <v>41</v>
      </c>
      <c r="B100" s="112"/>
      <c r="C100" s="38" t="s">
        <v>36</v>
      </c>
      <c r="D100" s="59" t="e">
        <f>D14+D25+D35+D65+D84+D97</f>
        <v>#REF!</v>
      </c>
      <c r="E100" s="59">
        <f>E14+E25+E35+E65+E84+E97</f>
        <v>23864.62264</v>
      </c>
      <c r="F100" s="34" t="e">
        <f t="shared" si="10"/>
        <v>#REF!</v>
      </c>
      <c r="G100" s="59">
        <f>G14+G25+G35+G65+G84+G97</f>
        <v>53100.244479999994</v>
      </c>
      <c r="H100" s="59">
        <f>H14+H25+H35+H65+H84+H97</f>
        <v>36499.301060000005</v>
      </c>
      <c r="I100" s="34">
        <f t="shared" si="7"/>
        <v>0.6873659701086184</v>
      </c>
      <c r="J100" s="35"/>
    </row>
    <row r="101" spans="1:10" ht="24">
      <c r="A101" s="112"/>
      <c r="B101" s="112"/>
      <c r="C101" s="65" t="s">
        <v>37</v>
      </c>
      <c r="D101" s="60">
        <f>D15+D26+D37+D66+D85</f>
        <v>409.3681</v>
      </c>
      <c r="E101" s="60">
        <f>E15+E26+E37+E66+E85</f>
        <v>309.0729</v>
      </c>
      <c r="F101" s="18">
        <f t="shared" si="10"/>
        <v>0.7549999621367663</v>
      </c>
      <c r="G101" s="60">
        <f>G15+G26+G37+G66+G85</f>
        <v>409.3681</v>
      </c>
      <c r="H101" s="60">
        <f>H15+H26+H37+H66+H85</f>
        <v>309.0729</v>
      </c>
      <c r="I101" s="18">
        <f t="shared" si="7"/>
        <v>0.7549999621367663</v>
      </c>
      <c r="J101" s="20"/>
    </row>
    <row r="102" spans="1:10" ht="24">
      <c r="A102" s="112"/>
      <c r="B102" s="112"/>
      <c r="C102" s="65" t="s">
        <v>38</v>
      </c>
      <c r="D102" s="60" t="e">
        <f>D16+D27+D38+D67+D86+D87</f>
        <v>#REF!</v>
      </c>
      <c r="E102" s="60">
        <f>E16+E27+E38+E67+E86+E87</f>
        <v>8846.21099</v>
      </c>
      <c r="F102" s="18" t="e">
        <f t="shared" si="10"/>
        <v>#REF!</v>
      </c>
      <c r="G102" s="60">
        <f>G16+G27+G38+G67+G86+G87</f>
        <v>11096.30738</v>
      </c>
      <c r="H102" s="60">
        <f>H16+H27+H38+H67+H86+H87</f>
        <v>8846.21099</v>
      </c>
      <c r="I102" s="18">
        <f t="shared" si="7"/>
        <v>0.7972211553858378</v>
      </c>
      <c r="J102" s="20"/>
    </row>
    <row r="103" spans="1:10" ht="15.75">
      <c r="A103" s="112"/>
      <c r="B103" s="112"/>
      <c r="C103" s="65" t="s">
        <v>39</v>
      </c>
      <c r="D103" s="60">
        <f>D17+D28+D44+D72+D88</f>
        <v>20</v>
      </c>
      <c r="E103" s="60">
        <f>E17+E28+E44+E72+E88</f>
        <v>20</v>
      </c>
      <c r="F103" s="18">
        <f t="shared" si="10"/>
        <v>1</v>
      </c>
      <c r="G103" s="60">
        <f>G17+G28+G44+G72+G88</f>
        <v>20</v>
      </c>
      <c r="H103" s="60">
        <f>H17+H28+H44+H72+H88</f>
        <v>20</v>
      </c>
      <c r="I103" s="18">
        <f t="shared" si="7"/>
        <v>1</v>
      </c>
      <c r="J103" s="20"/>
    </row>
    <row r="104" spans="1:10" ht="15.75">
      <c r="A104" s="112"/>
      <c r="B104" s="112"/>
      <c r="C104" s="65" t="s">
        <v>45</v>
      </c>
      <c r="D104" s="60">
        <f>D18+D29+D45+D46+D73+D89</f>
        <v>1754.5420000000001</v>
      </c>
      <c r="E104" s="60">
        <f>E18+E29+E45+E46+E73+E89</f>
        <v>852.066</v>
      </c>
      <c r="F104" s="18">
        <f t="shared" si="10"/>
        <v>0.48563442767400267</v>
      </c>
      <c r="G104" s="60">
        <f>G18+G29+G45+G46+G73+G89</f>
        <v>1754.5420000000001</v>
      </c>
      <c r="H104" s="60">
        <f>H18+H29+H45+H46+H73+H89</f>
        <v>852.066</v>
      </c>
      <c r="I104" s="18">
        <f t="shared" si="7"/>
        <v>0.48563442767400267</v>
      </c>
      <c r="J104" s="20"/>
    </row>
    <row r="105" spans="1:10" ht="36">
      <c r="A105" s="112"/>
      <c r="B105" s="112"/>
      <c r="C105" s="42" t="s">
        <v>40</v>
      </c>
      <c r="D105" s="60">
        <f>D19+D30+D47+D74+D90+D97</f>
        <v>39820.026999999995</v>
      </c>
      <c r="E105" s="60">
        <f>E19+E30+E47+E74+E90+E97</f>
        <v>13837.272750000002</v>
      </c>
      <c r="F105" s="18">
        <f t="shared" si="10"/>
        <v>0.347495313099612</v>
      </c>
      <c r="G105" s="60">
        <f>G19+G30+G47+G74+G90+G97</f>
        <v>39820.026999999995</v>
      </c>
      <c r="H105" s="60">
        <f>H19+H30+H47+H74+H90+H97</f>
        <v>26471.95117</v>
      </c>
      <c r="I105" s="18">
        <f t="shared" si="7"/>
        <v>0.6647898849993247</v>
      </c>
      <c r="J105" s="20"/>
    </row>
    <row r="107" ht="12.75">
      <c r="A107" s="1" t="s">
        <v>98</v>
      </c>
    </row>
    <row r="108" ht="12.75">
      <c r="A108" s="1" t="s">
        <v>59</v>
      </c>
    </row>
    <row r="114" ht="12.75">
      <c r="E114" s="54"/>
    </row>
  </sheetData>
  <sheetProtection/>
  <mergeCells count="35">
    <mergeCell ref="J85:J88"/>
    <mergeCell ref="C90:C96"/>
    <mergeCell ref="A97:A99"/>
    <mergeCell ref="B97:B99"/>
    <mergeCell ref="C97:C99"/>
    <mergeCell ref="A100:A105"/>
    <mergeCell ref="B100:B105"/>
    <mergeCell ref="A65:A83"/>
    <mergeCell ref="B65:B83"/>
    <mergeCell ref="C67:C71"/>
    <mergeCell ref="C74:C83"/>
    <mergeCell ref="A84:A96"/>
    <mergeCell ref="B84:B96"/>
    <mergeCell ref="A35:A64"/>
    <mergeCell ref="B35:B64"/>
    <mergeCell ref="C36:C37"/>
    <mergeCell ref="C38:C42"/>
    <mergeCell ref="C45:C46"/>
    <mergeCell ref="C47:C64"/>
    <mergeCell ref="A14:A24"/>
    <mergeCell ref="B14:B24"/>
    <mergeCell ref="C19:C24"/>
    <mergeCell ref="A25:A34"/>
    <mergeCell ref="B25:B34"/>
    <mergeCell ref="C30:C3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J19" sqref="J19"/>
    </sheetView>
  </sheetViews>
  <sheetFormatPr defaultColWidth="9.00390625" defaultRowHeight="12.75" outlineLevelRow="1" outlineLevelCol="1"/>
  <cols>
    <col min="1" max="2" width="15.25390625" style="1" customWidth="1"/>
    <col min="3" max="3" width="23.875" style="1" customWidth="1"/>
    <col min="4" max="4" width="15.375" style="54" hidden="1" customWidth="1" outlineLevel="1"/>
    <col min="5" max="5" width="14.625" style="1" hidden="1" customWidth="1" outlineLevel="1"/>
    <col min="6" max="6" width="10.125" style="1" hidden="1" customWidth="1" outlineLevel="1"/>
    <col min="7" max="7" width="14.875" style="54" customWidth="1" collapsed="1"/>
    <col min="8" max="8" width="14.00390625" style="11" customWidth="1"/>
    <col min="9" max="9" width="10.875" style="1" customWidth="1"/>
    <col min="10" max="10" width="42.125" style="1" customWidth="1"/>
    <col min="11" max="11" width="9.125" style="1" customWidth="1"/>
    <col min="12" max="12" width="10.625" style="1" bestFit="1" customWidth="1"/>
    <col min="13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118</v>
      </c>
    </row>
    <row r="4" spans="3:10" ht="15.75" customHeight="1">
      <c r="C4" s="100" t="s">
        <v>53</v>
      </c>
      <c r="D4" s="100"/>
      <c r="E4" s="100"/>
      <c r="F4" s="100"/>
      <c r="G4" s="100"/>
      <c r="H4" s="100"/>
      <c r="I4" s="100"/>
      <c r="J4" s="100"/>
    </row>
    <row r="5" spans="3:10" ht="40.5" customHeight="1">
      <c r="C5" s="101" t="s">
        <v>48</v>
      </c>
      <c r="D5" s="101"/>
      <c r="E5" s="101"/>
      <c r="F5" s="101"/>
      <c r="G5" s="101"/>
      <c r="H5" s="101"/>
      <c r="I5" s="101"/>
      <c r="J5" s="101"/>
    </row>
    <row r="6" spans="1:10" ht="15.75">
      <c r="A6" s="102" t="s">
        <v>126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48.75" customHeight="1">
      <c r="A7" s="103" t="s">
        <v>119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2.75">
      <c r="A8" s="104" t="s">
        <v>31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119" t="s">
        <v>32</v>
      </c>
      <c r="B11" s="120" t="s">
        <v>16</v>
      </c>
      <c r="C11" s="122" t="s">
        <v>33</v>
      </c>
      <c r="D11" s="123" t="s">
        <v>120</v>
      </c>
      <c r="E11" s="124"/>
      <c r="F11" s="125"/>
      <c r="G11" s="126" t="s">
        <v>68</v>
      </c>
      <c r="H11" s="126"/>
      <c r="I11" s="126"/>
      <c r="J11" s="126"/>
    </row>
    <row r="12" spans="1:10" ht="66.75" customHeight="1">
      <c r="A12" s="119"/>
      <c r="B12" s="121"/>
      <c r="C12" s="122"/>
      <c r="D12" s="56" t="s">
        <v>76</v>
      </c>
      <c r="E12" s="53" t="s">
        <v>35</v>
      </c>
      <c r="F12" s="71" t="s">
        <v>34</v>
      </c>
      <c r="G12" s="56" t="s">
        <v>76</v>
      </c>
      <c r="H12" s="53" t="s">
        <v>35</v>
      </c>
      <c r="I12" s="71" t="s">
        <v>34</v>
      </c>
      <c r="J12" s="71" t="s">
        <v>54</v>
      </c>
    </row>
    <row r="13" spans="1:10" ht="15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</row>
    <row r="14" spans="1:10" ht="15.75">
      <c r="A14" s="112" t="s">
        <v>75</v>
      </c>
      <c r="B14" s="112" t="s">
        <v>17</v>
      </c>
      <c r="C14" s="38" t="s">
        <v>36</v>
      </c>
      <c r="D14" s="36">
        <f>SUM(D15:D19)</f>
        <v>875.246</v>
      </c>
      <c r="E14" s="36">
        <f>SUM(E15:E19)</f>
        <v>87.964</v>
      </c>
      <c r="F14" s="34">
        <f>E14/D14</f>
        <v>0.10050203028634236</v>
      </c>
      <c r="G14" s="36">
        <f>SUM(G15:G19)</f>
        <v>940.25</v>
      </c>
      <c r="H14" s="36">
        <f>SUM(H15:H19)</f>
        <v>413.8</v>
      </c>
      <c r="I14" s="37">
        <f>I15+I16+I17+I19</f>
        <v>0.7380917112808685</v>
      </c>
      <c r="J14" s="35"/>
    </row>
    <row r="15" spans="1:10" ht="24">
      <c r="A15" s="112"/>
      <c r="B15" s="112"/>
      <c r="C15" s="73" t="s">
        <v>37</v>
      </c>
      <c r="D15" s="5"/>
      <c r="E15" s="5"/>
      <c r="F15" s="70"/>
      <c r="G15" s="5"/>
      <c r="H15" s="5"/>
      <c r="I15" s="22"/>
      <c r="J15" s="20"/>
    </row>
    <row r="16" spans="1:10" ht="24">
      <c r="A16" s="112"/>
      <c r="B16" s="112"/>
      <c r="C16" s="73" t="s">
        <v>38</v>
      </c>
      <c r="D16" s="5"/>
      <c r="E16" s="5"/>
      <c r="F16" s="70"/>
      <c r="G16" s="5"/>
      <c r="H16" s="5"/>
      <c r="I16" s="22"/>
      <c r="J16" s="43"/>
    </row>
    <row r="17" spans="1:10" ht="18.75" customHeight="1">
      <c r="A17" s="112"/>
      <c r="B17" s="112"/>
      <c r="C17" s="73" t="s">
        <v>39</v>
      </c>
      <c r="D17" s="5"/>
      <c r="E17" s="5"/>
      <c r="F17" s="70"/>
      <c r="G17" s="5"/>
      <c r="H17" s="5"/>
      <c r="I17" s="22"/>
      <c r="J17" s="43"/>
    </row>
    <row r="18" spans="1:10" ht="18.75" customHeight="1">
      <c r="A18" s="112"/>
      <c r="B18" s="112"/>
      <c r="C18" s="73" t="s">
        <v>45</v>
      </c>
      <c r="D18" s="5">
        <v>402.676</v>
      </c>
      <c r="E18" s="77"/>
      <c r="F18" s="22">
        <f aca="true" t="shared" si="0" ref="F18:F25">E18/D18</f>
        <v>0</v>
      </c>
      <c r="G18" s="5">
        <v>467.68</v>
      </c>
      <c r="H18" s="6">
        <v>65</v>
      </c>
      <c r="I18" s="22">
        <f>H18/G18</f>
        <v>0.13898392062949025</v>
      </c>
      <c r="J18" s="43" t="s">
        <v>117</v>
      </c>
    </row>
    <row r="19" spans="1:10" ht="52.5" customHeight="1">
      <c r="A19" s="112"/>
      <c r="B19" s="112"/>
      <c r="C19" s="118" t="s">
        <v>40</v>
      </c>
      <c r="D19" s="8">
        <f>SUM(D20:D24)</f>
        <v>472.57</v>
      </c>
      <c r="E19" s="8">
        <f>SUM(E20:E24)</f>
        <v>87.964</v>
      </c>
      <c r="F19" s="18">
        <f t="shared" si="0"/>
        <v>0.1861396195272658</v>
      </c>
      <c r="G19" s="8">
        <f>SUM(G20:G24)</f>
        <v>472.57</v>
      </c>
      <c r="H19" s="8">
        <f>SUM(H20:H24)</f>
        <v>348.8</v>
      </c>
      <c r="I19" s="18">
        <f aca="true" t="shared" si="1" ref="I19:I25">H19/G19</f>
        <v>0.7380917112808685</v>
      </c>
      <c r="J19" s="44" t="s">
        <v>25</v>
      </c>
    </row>
    <row r="20" spans="1:10" ht="22.5">
      <c r="A20" s="112"/>
      <c r="B20" s="112"/>
      <c r="C20" s="118"/>
      <c r="D20" s="5">
        <v>20</v>
      </c>
      <c r="E20" s="5"/>
      <c r="F20" s="22">
        <f t="shared" si="0"/>
        <v>0</v>
      </c>
      <c r="G20" s="6">
        <f>D20</f>
        <v>20</v>
      </c>
      <c r="H20" s="6">
        <v>20</v>
      </c>
      <c r="I20" s="22">
        <f t="shared" si="1"/>
        <v>1</v>
      </c>
      <c r="J20" s="72" t="s">
        <v>60</v>
      </c>
    </row>
    <row r="21" spans="1:10" ht="22.5">
      <c r="A21" s="112"/>
      <c r="B21" s="112"/>
      <c r="C21" s="118"/>
      <c r="D21" s="5">
        <v>10</v>
      </c>
      <c r="E21" s="5"/>
      <c r="F21" s="22">
        <f t="shared" si="0"/>
        <v>0</v>
      </c>
      <c r="G21" s="6">
        <f>D21</f>
        <v>10</v>
      </c>
      <c r="H21" s="6">
        <v>10</v>
      </c>
      <c r="I21" s="22">
        <f t="shared" si="1"/>
        <v>1</v>
      </c>
      <c r="J21" s="72" t="s">
        <v>61</v>
      </c>
    </row>
    <row r="22" spans="1:10" ht="22.5">
      <c r="A22" s="112"/>
      <c r="B22" s="112"/>
      <c r="C22" s="118"/>
      <c r="D22" s="6">
        <v>272.25</v>
      </c>
      <c r="E22" s="5">
        <f>11.8+52.164</f>
        <v>63.964</v>
      </c>
      <c r="F22" s="22">
        <f t="shared" si="0"/>
        <v>0.23494582185491275</v>
      </c>
      <c r="G22" s="6">
        <v>272.25</v>
      </c>
      <c r="H22" s="6">
        <v>236.8</v>
      </c>
      <c r="I22" s="22">
        <f t="shared" si="1"/>
        <v>0.8697887970615243</v>
      </c>
      <c r="J22" s="46" t="s">
        <v>0</v>
      </c>
    </row>
    <row r="23" spans="1:10" ht="22.5" hidden="1">
      <c r="A23" s="112"/>
      <c r="B23" s="112"/>
      <c r="C23" s="118"/>
      <c r="D23" s="6"/>
      <c r="E23" s="5"/>
      <c r="F23" s="22"/>
      <c r="G23" s="6"/>
      <c r="H23" s="6"/>
      <c r="I23" s="22"/>
      <c r="J23" s="76" t="s">
        <v>77</v>
      </c>
    </row>
    <row r="24" spans="1:10" ht="15.75">
      <c r="A24" s="112"/>
      <c r="B24" s="112"/>
      <c r="C24" s="118"/>
      <c r="D24" s="6">
        <v>170.32</v>
      </c>
      <c r="E24" s="5">
        <v>24</v>
      </c>
      <c r="F24" s="22"/>
      <c r="G24" s="6">
        <v>170.32</v>
      </c>
      <c r="H24" s="6">
        <v>82</v>
      </c>
      <c r="I24" s="22"/>
      <c r="J24" s="46" t="s">
        <v>1</v>
      </c>
    </row>
    <row r="25" spans="1:10" ht="21" customHeight="1">
      <c r="A25" s="112" t="s">
        <v>78</v>
      </c>
      <c r="B25" s="112" t="s">
        <v>18</v>
      </c>
      <c r="C25" s="38" t="s">
        <v>36</v>
      </c>
      <c r="D25" s="36">
        <f>SUM(D26:D30)</f>
        <v>130.11</v>
      </c>
      <c r="E25" s="36">
        <f>SUM(E26:E30)</f>
        <v>45.68</v>
      </c>
      <c r="F25" s="34">
        <f t="shared" si="0"/>
        <v>0.3510875413111982</v>
      </c>
      <c r="G25" s="36">
        <f>SUM(G26:G30)</f>
        <v>130.11</v>
      </c>
      <c r="H25" s="36">
        <f>SUM(H26:H30)</f>
        <v>45.68</v>
      </c>
      <c r="I25" s="34">
        <f t="shared" si="1"/>
        <v>0.3510875413111982</v>
      </c>
      <c r="J25" s="47"/>
    </row>
    <row r="26" spans="1:10" ht="24.75" customHeight="1">
      <c r="A26" s="112"/>
      <c r="B26" s="112"/>
      <c r="C26" s="73" t="s">
        <v>37</v>
      </c>
      <c r="D26" s="5"/>
      <c r="E26" s="5"/>
      <c r="F26" s="70"/>
      <c r="G26" s="7"/>
      <c r="H26" s="7"/>
      <c r="I26" s="18"/>
      <c r="J26" s="48"/>
    </row>
    <row r="27" spans="1:10" ht="24.75" customHeight="1">
      <c r="A27" s="112"/>
      <c r="B27" s="112"/>
      <c r="C27" s="75" t="s">
        <v>62</v>
      </c>
      <c r="D27" s="5"/>
      <c r="E27" s="5"/>
      <c r="F27" s="69"/>
      <c r="G27" s="6"/>
      <c r="H27" s="6"/>
      <c r="I27" s="22"/>
      <c r="J27" s="46"/>
    </row>
    <row r="28" spans="1:10" ht="15.75">
      <c r="A28" s="112"/>
      <c r="B28" s="112"/>
      <c r="C28" s="73" t="s">
        <v>39</v>
      </c>
      <c r="D28" s="5"/>
      <c r="E28" s="5"/>
      <c r="F28" s="70"/>
      <c r="G28" s="5"/>
      <c r="H28" s="5"/>
      <c r="I28" s="27"/>
      <c r="J28" s="43"/>
    </row>
    <row r="29" spans="1:10" ht="15.75">
      <c r="A29" s="112"/>
      <c r="B29" s="112"/>
      <c r="C29" s="73" t="s">
        <v>45</v>
      </c>
      <c r="D29" s="5"/>
      <c r="E29" s="5"/>
      <c r="F29" s="70"/>
      <c r="G29" s="5"/>
      <c r="H29" s="5"/>
      <c r="I29" s="27"/>
      <c r="J29" s="43"/>
    </row>
    <row r="30" spans="1:10" ht="67.5">
      <c r="A30" s="112"/>
      <c r="B30" s="112"/>
      <c r="C30" s="112" t="s">
        <v>40</v>
      </c>
      <c r="D30" s="8">
        <f>SUM(D31:D34)</f>
        <v>130.11</v>
      </c>
      <c r="E30" s="8">
        <f>SUM(E31:E34)</f>
        <v>45.68</v>
      </c>
      <c r="F30" s="18">
        <f aca="true" t="shared" si="2" ref="F30:F64">E30/D30</f>
        <v>0.3510875413111982</v>
      </c>
      <c r="G30" s="8">
        <f>SUM(G31:G34)</f>
        <v>130.11</v>
      </c>
      <c r="H30" s="8">
        <f>SUM(H31:H34)</f>
        <v>45.68</v>
      </c>
      <c r="I30" s="18">
        <f aca="true" t="shared" si="3" ref="I30:I45">H30/G30</f>
        <v>0.3510875413111982</v>
      </c>
      <c r="J30" s="48" t="s">
        <v>44</v>
      </c>
    </row>
    <row r="31" spans="1:10" ht="15.75">
      <c r="A31" s="112"/>
      <c r="B31" s="112"/>
      <c r="C31" s="112"/>
      <c r="D31" s="6">
        <v>35</v>
      </c>
      <c r="E31" s="5">
        <v>0</v>
      </c>
      <c r="F31" s="22">
        <f t="shared" si="2"/>
        <v>0</v>
      </c>
      <c r="G31" s="6">
        <v>35</v>
      </c>
      <c r="H31" s="6">
        <f>E31</f>
        <v>0</v>
      </c>
      <c r="I31" s="22">
        <f t="shared" si="3"/>
        <v>0</v>
      </c>
      <c r="J31" s="46" t="s">
        <v>2</v>
      </c>
    </row>
    <row r="32" spans="1:10" ht="33.75">
      <c r="A32" s="112"/>
      <c r="B32" s="112"/>
      <c r="C32" s="112"/>
      <c r="D32" s="6">
        <v>40.15</v>
      </c>
      <c r="E32" s="5">
        <v>0</v>
      </c>
      <c r="F32" s="22">
        <f t="shared" si="2"/>
        <v>0</v>
      </c>
      <c r="G32" s="6">
        <v>40.15</v>
      </c>
      <c r="H32" s="6">
        <f>E32</f>
        <v>0</v>
      </c>
      <c r="I32" s="22">
        <f t="shared" si="3"/>
        <v>0</v>
      </c>
      <c r="J32" s="46" t="s">
        <v>3</v>
      </c>
    </row>
    <row r="33" spans="1:10" ht="22.5">
      <c r="A33" s="112"/>
      <c r="B33" s="112"/>
      <c r="C33" s="112"/>
      <c r="D33" s="6">
        <v>45.96</v>
      </c>
      <c r="E33" s="5">
        <f>2+9.6+32.4+1.68</f>
        <v>45.68</v>
      </c>
      <c r="F33" s="22">
        <f t="shared" si="2"/>
        <v>0.9939077458659704</v>
      </c>
      <c r="G33" s="6">
        <v>45.96</v>
      </c>
      <c r="H33" s="6">
        <v>45.68</v>
      </c>
      <c r="I33" s="22">
        <f t="shared" si="3"/>
        <v>0.9939077458659704</v>
      </c>
      <c r="J33" s="46" t="s">
        <v>4</v>
      </c>
    </row>
    <row r="34" spans="1:10" ht="15.75">
      <c r="A34" s="112"/>
      <c r="B34" s="112"/>
      <c r="C34" s="112"/>
      <c r="D34" s="6">
        <v>9</v>
      </c>
      <c r="E34" s="5">
        <v>0</v>
      </c>
      <c r="F34" s="22">
        <f t="shared" si="2"/>
        <v>0</v>
      </c>
      <c r="G34" s="6">
        <v>9</v>
      </c>
      <c r="H34" s="6">
        <f>E34</f>
        <v>0</v>
      </c>
      <c r="I34" s="22">
        <f t="shared" si="3"/>
        <v>0</v>
      </c>
      <c r="J34" s="46" t="s">
        <v>5</v>
      </c>
    </row>
    <row r="35" spans="1:10" ht="21.75" customHeight="1">
      <c r="A35" s="112" t="s">
        <v>79</v>
      </c>
      <c r="B35" s="112" t="s">
        <v>19</v>
      </c>
      <c r="C35" s="38" t="s">
        <v>36</v>
      </c>
      <c r="D35" s="33">
        <f>D36+D38+D44+D45+D46+D47</f>
        <v>22654.499309999996</v>
      </c>
      <c r="E35" s="33">
        <f>E36+E38+E44+E45+E46+E47</f>
        <v>5945.150790000001</v>
      </c>
      <c r="F35" s="34">
        <f t="shared" si="2"/>
        <v>0.2624269337692108</v>
      </c>
      <c r="G35" s="33">
        <f>G36+G38+G44+G45+G46+G47</f>
        <v>22654.499309999996</v>
      </c>
      <c r="H35" s="33">
        <f>H36+H38+H44+H45+H46+H47</f>
        <v>21186.23091</v>
      </c>
      <c r="I35" s="34">
        <f t="shared" si="3"/>
        <v>0.9351886625297482</v>
      </c>
      <c r="J35" s="47"/>
    </row>
    <row r="36" spans="1:10" ht="24.75" customHeight="1" hidden="1">
      <c r="A36" s="112"/>
      <c r="B36" s="112"/>
      <c r="C36" s="113" t="s">
        <v>37</v>
      </c>
      <c r="D36" s="7">
        <f>D37</f>
        <v>0</v>
      </c>
      <c r="E36" s="7">
        <f>E37</f>
        <v>0</v>
      </c>
      <c r="F36" s="18" t="e">
        <f t="shared" si="2"/>
        <v>#DIV/0!</v>
      </c>
      <c r="G36" s="7">
        <f>G37</f>
        <v>0</v>
      </c>
      <c r="H36" s="7">
        <f>H37</f>
        <v>0</v>
      </c>
      <c r="I36" s="18" t="e">
        <f t="shared" si="3"/>
        <v>#DIV/0!</v>
      </c>
      <c r="J36" s="43"/>
    </row>
    <row r="37" spans="1:10" ht="15.75" hidden="1">
      <c r="A37" s="112"/>
      <c r="B37" s="112"/>
      <c r="C37" s="114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48"/>
    </row>
    <row r="38" spans="1:10" ht="24.75" customHeight="1">
      <c r="A38" s="112"/>
      <c r="B38" s="112"/>
      <c r="C38" s="115" t="s">
        <v>38</v>
      </c>
      <c r="D38" s="7">
        <f>SUM(D39:D43)</f>
        <v>2820.7</v>
      </c>
      <c r="E38" s="7">
        <f>SUM(E40:E43)</f>
        <v>1164</v>
      </c>
      <c r="F38" s="18">
        <f t="shared" si="2"/>
        <v>0.41266352323891237</v>
      </c>
      <c r="G38" s="7">
        <f>SUM(G39:G43)</f>
        <v>2820.7</v>
      </c>
      <c r="H38" s="7">
        <f>SUM(H39:H43)</f>
        <v>2732.36</v>
      </c>
      <c r="I38" s="18">
        <f t="shared" si="3"/>
        <v>0.9686815329528132</v>
      </c>
      <c r="J38" s="43"/>
    </row>
    <row r="39" spans="1:10" ht="46.5" customHeight="1">
      <c r="A39" s="112"/>
      <c r="B39" s="112"/>
      <c r="C39" s="116"/>
      <c r="D39" s="5">
        <v>600</v>
      </c>
      <c r="E39" s="5"/>
      <c r="F39" s="22">
        <f>E39/D39</f>
        <v>0</v>
      </c>
      <c r="G39" s="6">
        <f>D39</f>
        <v>600</v>
      </c>
      <c r="H39" s="6">
        <v>600</v>
      </c>
      <c r="I39" s="22">
        <f>H39/G39</f>
        <v>1</v>
      </c>
      <c r="J39" s="48" t="s">
        <v>114</v>
      </c>
    </row>
    <row r="40" spans="1:10" ht="57.75" customHeight="1">
      <c r="A40" s="112"/>
      <c r="B40" s="112"/>
      <c r="C40" s="116"/>
      <c r="D40" s="5">
        <v>484.9</v>
      </c>
      <c r="E40" s="5"/>
      <c r="F40" s="22">
        <f t="shared" si="2"/>
        <v>0</v>
      </c>
      <c r="G40" s="6">
        <f aca="true" t="shared" si="4" ref="G40:H45">D40</f>
        <v>484.9</v>
      </c>
      <c r="H40" s="6">
        <v>484.9</v>
      </c>
      <c r="I40" s="22">
        <f t="shared" si="3"/>
        <v>1</v>
      </c>
      <c r="J40" s="49" t="s">
        <v>99</v>
      </c>
    </row>
    <row r="41" spans="1:10" ht="90">
      <c r="A41" s="112"/>
      <c r="B41" s="112"/>
      <c r="C41" s="116"/>
      <c r="D41" s="5">
        <f>208.86+112.94</f>
        <v>321.8</v>
      </c>
      <c r="E41" s="5"/>
      <c r="F41" s="22">
        <f t="shared" si="2"/>
        <v>0</v>
      </c>
      <c r="G41" s="6">
        <f t="shared" si="4"/>
        <v>321.8</v>
      </c>
      <c r="H41" s="6">
        <f>208.86+112.94</f>
        <v>321.8</v>
      </c>
      <c r="I41" s="22">
        <f t="shared" si="3"/>
        <v>1</v>
      </c>
      <c r="J41" s="49" t="s">
        <v>83</v>
      </c>
    </row>
    <row r="42" spans="1:10" ht="38.25" customHeight="1">
      <c r="A42" s="112"/>
      <c r="B42" s="112"/>
      <c r="C42" s="116"/>
      <c r="D42" s="5">
        <v>350</v>
      </c>
      <c r="E42" s="5">
        <v>100</v>
      </c>
      <c r="F42" s="22">
        <f t="shared" si="2"/>
        <v>0.2857142857142857</v>
      </c>
      <c r="G42" s="6">
        <f t="shared" si="4"/>
        <v>350</v>
      </c>
      <c r="H42" s="5">
        <v>261.66</v>
      </c>
      <c r="I42" s="22">
        <f t="shared" si="3"/>
        <v>0.7476</v>
      </c>
      <c r="J42" s="46" t="s">
        <v>84</v>
      </c>
    </row>
    <row r="43" spans="1:10" ht="51" customHeight="1">
      <c r="A43" s="112"/>
      <c r="B43" s="112"/>
      <c r="C43" s="74"/>
      <c r="D43" s="5">
        <v>1064</v>
      </c>
      <c r="E43" s="6">
        <v>1064</v>
      </c>
      <c r="F43" s="22">
        <f t="shared" si="2"/>
        <v>1</v>
      </c>
      <c r="G43" s="6">
        <f t="shared" si="4"/>
        <v>1064</v>
      </c>
      <c r="H43" s="6">
        <v>1064</v>
      </c>
      <c r="I43" s="22">
        <f t="shared" si="3"/>
        <v>1</v>
      </c>
      <c r="J43" s="46" t="s">
        <v>100</v>
      </c>
    </row>
    <row r="44" spans="1:10" ht="108.75" customHeight="1" hidden="1" outlineLevel="1">
      <c r="A44" s="112"/>
      <c r="B44" s="112"/>
      <c r="C44" s="73" t="s">
        <v>39</v>
      </c>
      <c r="D44" s="5">
        <v>0</v>
      </c>
      <c r="E44" s="5">
        <v>0</v>
      </c>
      <c r="F44" s="22" t="e">
        <f t="shared" si="2"/>
        <v>#DIV/0!</v>
      </c>
      <c r="G44" s="6">
        <f t="shared" si="4"/>
        <v>0</v>
      </c>
      <c r="H44" s="6">
        <f t="shared" si="4"/>
        <v>0</v>
      </c>
      <c r="I44" s="22" t="e">
        <f t="shared" si="3"/>
        <v>#DIV/0!</v>
      </c>
      <c r="J44" s="46"/>
    </row>
    <row r="45" spans="1:10" ht="23.25" customHeight="1" collapsed="1">
      <c r="A45" s="112"/>
      <c r="B45" s="112"/>
      <c r="C45" s="109" t="s">
        <v>45</v>
      </c>
      <c r="D45" s="5">
        <v>499.8</v>
      </c>
      <c r="E45" s="5">
        <v>499.8</v>
      </c>
      <c r="F45" s="22">
        <f t="shared" si="2"/>
        <v>1</v>
      </c>
      <c r="G45" s="6">
        <f t="shared" si="4"/>
        <v>499.8</v>
      </c>
      <c r="H45" s="6">
        <v>499.8</v>
      </c>
      <c r="I45" s="22">
        <f t="shared" si="3"/>
        <v>1</v>
      </c>
      <c r="J45" s="72" t="s">
        <v>115</v>
      </c>
    </row>
    <row r="46" spans="1:10" ht="21.75" customHeight="1">
      <c r="A46" s="112"/>
      <c r="B46" s="112"/>
      <c r="C46" s="117"/>
      <c r="D46" s="5">
        <v>805</v>
      </c>
      <c r="E46" s="5"/>
      <c r="F46" s="22">
        <f t="shared" si="2"/>
        <v>0</v>
      </c>
      <c r="G46" s="6">
        <f>D46</f>
        <v>805</v>
      </c>
      <c r="H46" s="6">
        <v>805</v>
      </c>
      <c r="I46" s="22">
        <f>H46/G46</f>
        <v>1</v>
      </c>
      <c r="J46" s="72" t="s">
        <v>116</v>
      </c>
    </row>
    <row r="47" spans="1:10" ht="136.5" customHeight="1">
      <c r="A47" s="112"/>
      <c r="B47" s="112"/>
      <c r="C47" s="109" t="s">
        <v>40</v>
      </c>
      <c r="D47" s="8">
        <f>SUM(D48:D64)</f>
        <v>18528.999309999996</v>
      </c>
      <c r="E47" s="8">
        <f>SUM(E48:E64)</f>
        <v>4281.35079</v>
      </c>
      <c r="F47" s="18">
        <f>E47/D47</f>
        <v>0.23106217008111063</v>
      </c>
      <c r="G47" s="8">
        <f>SUM(G48:G64)</f>
        <v>18528.999309999996</v>
      </c>
      <c r="H47" s="8">
        <f>SUM(H48:H64)</f>
        <v>17149.07091</v>
      </c>
      <c r="I47" s="18">
        <f aca="true" t="shared" si="5" ref="I47:I107">H47/G47</f>
        <v>0.9255260159001001</v>
      </c>
      <c r="J47" s="44" t="s">
        <v>20</v>
      </c>
    </row>
    <row r="48" spans="1:10" ht="33.75">
      <c r="A48" s="112"/>
      <c r="B48" s="112"/>
      <c r="C48" s="110"/>
      <c r="D48" s="5">
        <v>700</v>
      </c>
      <c r="E48" s="5">
        <f>36+99.5</f>
        <v>135.5</v>
      </c>
      <c r="F48" s="22">
        <f t="shared" si="2"/>
        <v>0.19357142857142856</v>
      </c>
      <c r="G48" s="6">
        <f>D48</f>
        <v>700</v>
      </c>
      <c r="H48" s="6">
        <v>594.79</v>
      </c>
      <c r="I48" s="22">
        <f t="shared" si="5"/>
        <v>0.8496999999999999</v>
      </c>
      <c r="J48" s="46" t="s">
        <v>49</v>
      </c>
    </row>
    <row r="49" spans="1:10" ht="22.5">
      <c r="A49" s="112"/>
      <c r="B49" s="112"/>
      <c r="C49" s="110"/>
      <c r="D49" s="5">
        <v>280</v>
      </c>
      <c r="E49" s="5">
        <v>199</v>
      </c>
      <c r="F49" s="22">
        <f t="shared" si="2"/>
        <v>0.7107142857142857</v>
      </c>
      <c r="G49" s="6">
        <v>280</v>
      </c>
      <c r="H49" s="6">
        <v>199</v>
      </c>
      <c r="I49" s="22">
        <f t="shared" si="5"/>
        <v>0.7107142857142857</v>
      </c>
      <c r="J49" s="46" t="s">
        <v>12</v>
      </c>
    </row>
    <row r="50" spans="1:10" ht="22.5">
      <c r="A50" s="112"/>
      <c r="B50" s="112"/>
      <c r="C50" s="110"/>
      <c r="D50" s="5">
        <v>3116.33</v>
      </c>
      <c r="E50" s="5">
        <f>377.30584+76.6+119.648</f>
        <v>573.55384</v>
      </c>
      <c r="F50" s="22">
        <f t="shared" si="2"/>
        <v>0.18404785115825348</v>
      </c>
      <c r="G50" s="6">
        <f>D50</f>
        <v>3116.33</v>
      </c>
      <c r="H50" s="6">
        <v>2704.82</v>
      </c>
      <c r="I50" s="22">
        <f t="shared" si="5"/>
        <v>0.8679504417054678</v>
      </c>
      <c r="J50" s="46" t="s">
        <v>70</v>
      </c>
    </row>
    <row r="51" spans="1:10" ht="78.75">
      <c r="A51" s="112"/>
      <c r="B51" s="112"/>
      <c r="C51" s="110"/>
      <c r="D51" s="5">
        <f>87.384+41.06</f>
        <v>128.44400000000002</v>
      </c>
      <c r="E51" s="5"/>
      <c r="F51" s="22">
        <f t="shared" si="2"/>
        <v>0</v>
      </c>
      <c r="G51" s="5">
        <f>87.384+41.06</f>
        <v>128.44400000000002</v>
      </c>
      <c r="H51" s="5">
        <f>87.384+41.06</f>
        <v>128.44400000000002</v>
      </c>
      <c r="I51" s="22">
        <f t="shared" si="5"/>
        <v>1</v>
      </c>
      <c r="J51" s="49" t="s">
        <v>85</v>
      </c>
    </row>
    <row r="52" spans="1:10" ht="56.25" hidden="1">
      <c r="A52" s="112"/>
      <c r="B52" s="112"/>
      <c r="C52" s="110"/>
      <c r="D52" s="5">
        <v>0</v>
      </c>
      <c r="E52" s="5">
        <v>0</v>
      </c>
      <c r="F52" s="22" t="e">
        <f t="shared" si="2"/>
        <v>#DIV/0!</v>
      </c>
      <c r="G52" s="6">
        <f>D52</f>
        <v>0</v>
      </c>
      <c r="H52" s="6">
        <f>E52</f>
        <v>0</v>
      </c>
      <c r="I52" s="22" t="e">
        <f t="shared" si="5"/>
        <v>#DIV/0!</v>
      </c>
      <c r="J52" s="46" t="s">
        <v>82</v>
      </c>
    </row>
    <row r="53" spans="1:10" ht="56.25">
      <c r="A53" s="112"/>
      <c r="B53" s="112"/>
      <c r="C53" s="110"/>
      <c r="D53" s="5">
        <v>800.08691</v>
      </c>
      <c r="E53" s="5"/>
      <c r="F53" s="22">
        <f t="shared" si="2"/>
        <v>0</v>
      </c>
      <c r="G53" s="6">
        <f aca="true" t="shared" si="6" ref="G53:G59">D53</f>
        <v>800.08691</v>
      </c>
      <c r="H53" s="5">
        <v>800.08691</v>
      </c>
      <c r="I53" s="22">
        <f t="shared" si="5"/>
        <v>1</v>
      </c>
      <c r="J53" s="46" t="s">
        <v>103</v>
      </c>
    </row>
    <row r="54" spans="1:10" ht="45">
      <c r="A54" s="112"/>
      <c r="B54" s="112"/>
      <c r="C54" s="110"/>
      <c r="D54" s="6">
        <v>294.93</v>
      </c>
      <c r="E54" s="6">
        <v>294.93</v>
      </c>
      <c r="F54" s="22">
        <f t="shared" si="2"/>
        <v>1</v>
      </c>
      <c r="G54" s="6">
        <f t="shared" si="6"/>
        <v>294.93</v>
      </c>
      <c r="H54" s="6">
        <v>294.93</v>
      </c>
      <c r="I54" s="22">
        <f t="shared" si="5"/>
        <v>1</v>
      </c>
      <c r="J54" s="46" t="s">
        <v>102</v>
      </c>
    </row>
    <row r="55" spans="1:10" ht="15.75">
      <c r="A55" s="112"/>
      <c r="B55" s="112"/>
      <c r="C55" s="110"/>
      <c r="D55" s="5">
        <v>147.9</v>
      </c>
      <c r="E55" s="5">
        <f>34.8578+6.62686+14.08</f>
        <v>55.564659999999996</v>
      </c>
      <c r="F55" s="22">
        <f t="shared" si="2"/>
        <v>0.37569073698444894</v>
      </c>
      <c r="G55" s="6">
        <f t="shared" si="6"/>
        <v>147.9</v>
      </c>
      <c r="H55" s="6">
        <v>121.72</v>
      </c>
      <c r="I55" s="22">
        <f t="shared" si="5"/>
        <v>0.8229885057471263</v>
      </c>
      <c r="J55" s="46" t="s">
        <v>6</v>
      </c>
    </row>
    <row r="56" spans="1:10" ht="22.5">
      <c r="A56" s="112"/>
      <c r="B56" s="112"/>
      <c r="C56" s="110"/>
      <c r="D56" s="5">
        <v>800.02</v>
      </c>
      <c r="E56" s="5">
        <f>200.00379</f>
        <v>200.00379</v>
      </c>
      <c r="F56" s="22">
        <f t="shared" si="2"/>
        <v>0.24999848753781156</v>
      </c>
      <c r="G56" s="6">
        <f t="shared" si="6"/>
        <v>800.02</v>
      </c>
      <c r="H56" s="6">
        <v>733.35</v>
      </c>
      <c r="I56" s="22">
        <f t="shared" si="5"/>
        <v>0.9166645833854155</v>
      </c>
      <c r="J56" s="46" t="s">
        <v>101</v>
      </c>
    </row>
    <row r="57" spans="1:10" ht="15.75">
      <c r="A57" s="112"/>
      <c r="B57" s="112"/>
      <c r="C57" s="110"/>
      <c r="D57" s="5">
        <v>83</v>
      </c>
      <c r="E57" s="5">
        <v>28.32208</v>
      </c>
      <c r="F57" s="22">
        <f t="shared" si="2"/>
        <v>0.34122987951807227</v>
      </c>
      <c r="G57" s="6">
        <f t="shared" si="6"/>
        <v>83</v>
      </c>
      <c r="H57" s="6">
        <v>82.6</v>
      </c>
      <c r="I57" s="22">
        <f t="shared" si="5"/>
        <v>0.9951807228915662</v>
      </c>
      <c r="J57" s="46" t="s">
        <v>7</v>
      </c>
    </row>
    <row r="58" spans="1:10" ht="22.5">
      <c r="A58" s="112"/>
      <c r="B58" s="112"/>
      <c r="C58" s="110"/>
      <c r="D58" s="5">
        <v>1700</v>
      </c>
      <c r="E58" s="5">
        <f>464.81037+98.1+99.968</f>
        <v>662.8783699999999</v>
      </c>
      <c r="F58" s="22">
        <f t="shared" si="2"/>
        <v>0.3899284529411764</v>
      </c>
      <c r="G58" s="6">
        <f t="shared" si="6"/>
        <v>1700</v>
      </c>
      <c r="H58" s="6">
        <v>1560.94</v>
      </c>
      <c r="I58" s="22">
        <f t="shared" si="5"/>
        <v>0.9182</v>
      </c>
      <c r="J58" s="46" t="s">
        <v>8</v>
      </c>
    </row>
    <row r="59" spans="1:10" ht="22.5">
      <c r="A59" s="112"/>
      <c r="B59" s="112"/>
      <c r="C59" s="110"/>
      <c r="D59" s="5">
        <v>125.43</v>
      </c>
      <c r="E59" s="5">
        <f>0.4+10.71+35.15</f>
        <v>46.26</v>
      </c>
      <c r="F59" s="22">
        <f t="shared" si="2"/>
        <v>0.36881128916527145</v>
      </c>
      <c r="G59" s="6">
        <f t="shared" si="6"/>
        <v>125.43</v>
      </c>
      <c r="H59" s="6">
        <v>125.43</v>
      </c>
      <c r="I59" s="22">
        <f t="shared" si="5"/>
        <v>1</v>
      </c>
      <c r="J59" s="46" t="s">
        <v>9</v>
      </c>
    </row>
    <row r="60" spans="1:10" ht="22.5">
      <c r="A60" s="112"/>
      <c r="B60" s="112"/>
      <c r="C60" s="110"/>
      <c r="D60" s="5">
        <v>220</v>
      </c>
      <c r="E60" s="5">
        <f>193</f>
        <v>193</v>
      </c>
      <c r="F60" s="22">
        <f t="shared" si="2"/>
        <v>0.8772727272727273</v>
      </c>
      <c r="G60" s="6">
        <v>220</v>
      </c>
      <c r="H60" s="6">
        <v>193</v>
      </c>
      <c r="I60" s="22">
        <f t="shared" si="5"/>
        <v>0.8772727272727273</v>
      </c>
      <c r="J60" s="46" t="s">
        <v>10</v>
      </c>
    </row>
    <row r="61" spans="1:10" ht="22.5">
      <c r="A61" s="112"/>
      <c r="B61" s="112"/>
      <c r="C61" s="110"/>
      <c r="D61" s="5">
        <v>9550.63</v>
      </c>
      <c r="E61" s="5">
        <f>855.58247+504.48679+170.89+203.005</f>
        <v>1733.9642600000002</v>
      </c>
      <c r="F61" s="22">
        <f t="shared" si="2"/>
        <v>0.18155496129574702</v>
      </c>
      <c r="G61" s="6">
        <v>9550.63</v>
      </c>
      <c r="H61" s="6">
        <v>9027.77</v>
      </c>
      <c r="I61" s="22">
        <f t="shared" si="5"/>
        <v>0.9452538733046931</v>
      </c>
      <c r="J61" s="46" t="s">
        <v>11</v>
      </c>
    </row>
    <row r="62" spans="1:10" ht="22.5">
      <c r="A62" s="112"/>
      <c r="B62" s="112"/>
      <c r="C62" s="110"/>
      <c r="D62" s="5">
        <v>54.6484</v>
      </c>
      <c r="E62" s="5">
        <f>8.87379</f>
        <v>8.87379</v>
      </c>
      <c r="F62" s="22">
        <f t="shared" si="2"/>
        <v>0.16237968540707504</v>
      </c>
      <c r="G62" s="6">
        <f>D62</f>
        <v>54.6484</v>
      </c>
      <c r="H62" s="6">
        <v>54.65</v>
      </c>
      <c r="I62" s="22">
        <f>H62/G62</f>
        <v>1.0000292780758449</v>
      </c>
      <c r="J62" s="46" t="s">
        <v>67</v>
      </c>
    </row>
    <row r="63" spans="1:10" ht="22.5">
      <c r="A63" s="112"/>
      <c r="B63" s="112"/>
      <c r="C63" s="110"/>
      <c r="D63" s="5">
        <v>408.3</v>
      </c>
      <c r="E63" s="5">
        <f>99.5</f>
        <v>99.5</v>
      </c>
      <c r="F63" s="22">
        <f t="shared" si="2"/>
        <v>0.24369336272348763</v>
      </c>
      <c r="G63" s="6">
        <f>D63</f>
        <v>408.3</v>
      </c>
      <c r="H63" s="6">
        <v>408.26</v>
      </c>
      <c r="I63" s="22">
        <f>H63/G63</f>
        <v>0.9999020328190056</v>
      </c>
      <c r="J63" s="46" t="s">
        <v>24</v>
      </c>
    </row>
    <row r="64" spans="1:10" ht="33.75">
      <c r="A64" s="109"/>
      <c r="B64" s="109"/>
      <c r="C64" s="110"/>
      <c r="D64" s="78">
        <v>119.28</v>
      </c>
      <c r="E64" s="78">
        <v>50</v>
      </c>
      <c r="F64" s="79">
        <f t="shared" si="2"/>
        <v>0.41918175720992623</v>
      </c>
      <c r="G64" s="80">
        <v>119.28</v>
      </c>
      <c r="H64" s="80">
        <v>119.28</v>
      </c>
      <c r="I64" s="79">
        <f>H64/G64</f>
        <v>1</v>
      </c>
      <c r="J64" s="81" t="s">
        <v>86</v>
      </c>
    </row>
    <row r="65" spans="1:10" ht="16.5" customHeight="1">
      <c r="A65" s="111" t="s">
        <v>80</v>
      </c>
      <c r="B65" s="111" t="s">
        <v>21</v>
      </c>
      <c r="C65" s="82" t="s">
        <v>36</v>
      </c>
      <c r="D65" s="83">
        <f>D66+D67+D72+D73+D74</f>
        <v>20987.638</v>
      </c>
      <c r="E65" s="83">
        <f>E66+E67+E72+E73+E74</f>
        <v>4849.07124</v>
      </c>
      <c r="F65" s="84">
        <f>E65/D65</f>
        <v>0.231044162282578</v>
      </c>
      <c r="G65" s="83">
        <f>G66+G67+G72+G73+G74</f>
        <v>20987.638</v>
      </c>
      <c r="H65" s="83">
        <f>H66+H67+H72+H73+H74</f>
        <v>20987.508</v>
      </c>
      <c r="I65" s="84">
        <f t="shared" si="5"/>
        <v>0.9999938058775363</v>
      </c>
      <c r="J65" s="85"/>
    </row>
    <row r="66" spans="1:10" ht="25.5" customHeight="1">
      <c r="A66" s="112"/>
      <c r="B66" s="112"/>
      <c r="C66" s="73" t="s">
        <v>37</v>
      </c>
      <c r="D66" s="5"/>
      <c r="E66" s="5"/>
      <c r="F66" s="27"/>
      <c r="G66" s="5"/>
      <c r="H66" s="5"/>
      <c r="I66" s="27"/>
      <c r="J66" s="43"/>
    </row>
    <row r="67" spans="1:10" ht="17.25" customHeight="1">
      <c r="A67" s="112"/>
      <c r="B67" s="112"/>
      <c r="C67" s="112" t="s">
        <v>38</v>
      </c>
      <c r="D67" s="7">
        <f>SUM(D68:D71)</f>
        <v>6436.18</v>
      </c>
      <c r="E67" s="7">
        <f>SUM(E68:E71)</f>
        <v>628.79</v>
      </c>
      <c r="F67" s="18">
        <f>E67/D67</f>
        <v>0.09769614895792224</v>
      </c>
      <c r="G67" s="7">
        <f>SUM(G68:G71)</f>
        <v>6436.18</v>
      </c>
      <c r="H67" s="7">
        <f>SUM(H68:H71)</f>
        <v>6436.18</v>
      </c>
      <c r="I67" s="18">
        <f t="shared" si="5"/>
        <v>1</v>
      </c>
      <c r="J67" s="43"/>
    </row>
    <row r="68" spans="1:10" ht="74.25" customHeight="1">
      <c r="A68" s="112"/>
      <c r="B68" s="112"/>
      <c r="C68" s="112"/>
      <c r="D68" s="5">
        <v>2220.15</v>
      </c>
      <c r="E68" s="5">
        <v>597.36</v>
      </c>
      <c r="F68" s="22">
        <f>E68/D68</f>
        <v>0.2690629011553273</v>
      </c>
      <c r="G68" s="6">
        <f>D68</f>
        <v>2220.15</v>
      </c>
      <c r="H68" s="5">
        <v>2220.15</v>
      </c>
      <c r="I68" s="22">
        <f>H68/G68</f>
        <v>1</v>
      </c>
      <c r="J68" s="46" t="s">
        <v>56</v>
      </c>
    </row>
    <row r="69" spans="1:10" ht="72.75" customHeight="1">
      <c r="A69" s="112"/>
      <c r="B69" s="112"/>
      <c r="C69" s="112"/>
      <c r="D69" s="5">
        <v>116.85</v>
      </c>
      <c r="E69" s="5">
        <v>31.43</v>
      </c>
      <c r="F69" s="22">
        <f>E69/D69</f>
        <v>0.2689773213521609</v>
      </c>
      <c r="G69" s="6">
        <f>D69</f>
        <v>116.85</v>
      </c>
      <c r="H69" s="5">
        <v>116.85</v>
      </c>
      <c r="I69" s="22">
        <f>H69/G69</f>
        <v>1</v>
      </c>
      <c r="J69" s="46" t="s">
        <v>57</v>
      </c>
    </row>
    <row r="70" spans="1:10" ht="22.5" hidden="1" outlineLevel="1">
      <c r="A70" s="112"/>
      <c r="B70" s="112"/>
      <c r="C70" s="112"/>
      <c r="D70" s="5"/>
      <c r="E70" s="5"/>
      <c r="F70" s="22"/>
      <c r="G70" s="6"/>
      <c r="H70" s="6"/>
      <c r="I70" s="22"/>
      <c r="J70" s="46" t="s">
        <v>55</v>
      </c>
    </row>
    <row r="71" spans="1:10" ht="29.25" customHeight="1" collapsed="1">
      <c r="A71" s="112"/>
      <c r="B71" s="112"/>
      <c r="C71" s="112"/>
      <c r="D71" s="5">
        <v>4099.18</v>
      </c>
      <c r="E71" s="5"/>
      <c r="F71" s="22">
        <f>E71/D71</f>
        <v>0</v>
      </c>
      <c r="G71" s="6">
        <f>D71</f>
        <v>4099.18</v>
      </c>
      <c r="H71" s="5">
        <v>4099.18</v>
      </c>
      <c r="I71" s="22">
        <f>H71/G71</f>
        <v>1</v>
      </c>
      <c r="J71" s="46" t="s">
        <v>65</v>
      </c>
    </row>
    <row r="72" spans="1:10" ht="15.75">
      <c r="A72" s="112"/>
      <c r="B72" s="112"/>
      <c r="C72" s="73" t="s">
        <v>39</v>
      </c>
      <c r="D72" s="5"/>
      <c r="E72" s="5"/>
      <c r="F72" s="70"/>
      <c r="G72" s="5"/>
      <c r="H72" s="5"/>
      <c r="I72" s="27"/>
      <c r="J72" s="43"/>
    </row>
    <row r="73" spans="1:10" ht="15.75">
      <c r="A73" s="112"/>
      <c r="B73" s="112"/>
      <c r="C73" s="73" t="s">
        <v>45</v>
      </c>
      <c r="D73" s="5"/>
      <c r="E73" s="5"/>
      <c r="F73" s="22"/>
      <c r="G73" s="5"/>
      <c r="H73" s="5">
        <f>E73</f>
        <v>0</v>
      </c>
      <c r="I73" s="22"/>
      <c r="J73" s="43"/>
    </row>
    <row r="74" spans="1:10" ht="66.75" customHeight="1">
      <c r="A74" s="112"/>
      <c r="B74" s="112"/>
      <c r="C74" s="112" t="s">
        <v>40</v>
      </c>
      <c r="D74" s="58">
        <f>SUM(D75:D84)</f>
        <v>14551.458</v>
      </c>
      <c r="E74" s="58">
        <f>SUM(E75:E84)</f>
        <v>4220.28124</v>
      </c>
      <c r="F74" s="18">
        <f>E74/D74</f>
        <v>0.2900246312087765</v>
      </c>
      <c r="G74" s="58">
        <f>SUM(G75:G84)</f>
        <v>14551.458</v>
      </c>
      <c r="H74" s="58">
        <f>SUM(H75:H84)</f>
        <v>14551.328000000001</v>
      </c>
      <c r="I74" s="18">
        <f t="shared" si="5"/>
        <v>0.9999910661873196</v>
      </c>
      <c r="J74" s="44" t="s">
        <v>22</v>
      </c>
    </row>
    <row r="75" spans="1:10" ht="33.75">
      <c r="A75" s="112"/>
      <c r="B75" s="112"/>
      <c r="C75" s="112"/>
      <c r="D75" s="5">
        <v>10064.84</v>
      </c>
      <c r="E75" s="5">
        <v>2466.14124</v>
      </c>
      <c r="F75" s="22">
        <f aca="true" t="shared" si="7" ref="F75:F107">E75/D75</f>
        <v>0.2450253794397129</v>
      </c>
      <c r="G75" s="6">
        <f>D75</f>
        <v>10064.84</v>
      </c>
      <c r="H75" s="5">
        <v>10064.84</v>
      </c>
      <c r="I75" s="22">
        <f t="shared" si="5"/>
        <v>1</v>
      </c>
      <c r="J75" s="46" t="s">
        <v>26</v>
      </c>
    </row>
    <row r="76" spans="1:10" ht="22.5">
      <c r="A76" s="112"/>
      <c r="B76" s="112"/>
      <c r="C76" s="112"/>
      <c r="D76" s="5">
        <v>64.318</v>
      </c>
      <c r="E76" s="5"/>
      <c r="F76" s="22">
        <f t="shared" si="7"/>
        <v>0</v>
      </c>
      <c r="G76" s="6">
        <f>D76</f>
        <v>64.318</v>
      </c>
      <c r="H76" s="5">
        <v>64.318</v>
      </c>
      <c r="I76" s="22">
        <f t="shared" si="5"/>
        <v>1</v>
      </c>
      <c r="J76" s="46" t="s">
        <v>27</v>
      </c>
    </row>
    <row r="77" spans="1:10" ht="33.75">
      <c r="A77" s="112"/>
      <c r="B77" s="112"/>
      <c r="C77" s="112"/>
      <c r="D77" s="5">
        <v>649.07</v>
      </c>
      <c r="E77" s="5">
        <f>128.12</f>
        <v>128.12</v>
      </c>
      <c r="F77" s="22">
        <f t="shared" si="7"/>
        <v>0.19739011200640916</v>
      </c>
      <c r="G77" s="5">
        <v>649.07</v>
      </c>
      <c r="H77" s="5">
        <v>649.07</v>
      </c>
      <c r="I77" s="22">
        <f t="shared" si="5"/>
        <v>1</v>
      </c>
      <c r="J77" s="46" t="s">
        <v>28</v>
      </c>
    </row>
    <row r="78" spans="1:10" ht="22.5" hidden="1">
      <c r="A78" s="112"/>
      <c r="B78" s="112"/>
      <c r="C78" s="112"/>
      <c r="D78" s="5"/>
      <c r="E78" s="5">
        <v>0</v>
      </c>
      <c r="F78" s="22"/>
      <c r="G78" s="6">
        <f>D78</f>
        <v>0</v>
      </c>
      <c r="H78" s="6">
        <f>E78</f>
        <v>0</v>
      </c>
      <c r="I78" s="22"/>
      <c r="J78" s="46" t="s">
        <v>29</v>
      </c>
    </row>
    <row r="79" spans="1:10" ht="78.75">
      <c r="A79" s="112"/>
      <c r="B79" s="112"/>
      <c r="C79" s="112"/>
      <c r="D79" s="5">
        <v>2220.15</v>
      </c>
      <c r="E79" s="5">
        <v>777.55</v>
      </c>
      <c r="F79" s="22">
        <f>E79/D79</f>
        <v>0.3502240839582911</v>
      </c>
      <c r="G79" s="6">
        <f>D79</f>
        <v>2220.15</v>
      </c>
      <c r="H79" s="5">
        <v>2220.15</v>
      </c>
      <c r="I79" s="22">
        <f>H79/G79</f>
        <v>1</v>
      </c>
      <c r="J79" s="46" t="s">
        <v>56</v>
      </c>
    </row>
    <row r="80" spans="1:10" ht="78.75">
      <c r="A80" s="112"/>
      <c r="B80" s="112"/>
      <c r="C80" s="112"/>
      <c r="D80" s="5">
        <v>116.85</v>
      </c>
      <c r="E80" s="5">
        <v>40.85</v>
      </c>
      <c r="F80" s="22">
        <f>E80/D80</f>
        <v>0.34959349593495936</v>
      </c>
      <c r="G80" s="6">
        <f>D80</f>
        <v>116.85</v>
      </c>
      <c r="H80" s="5">
        <v>116.85</v>
      </c>
      <c r="I80" s="22">
        <f>H80/G80</f>
        <v>1</v>
      </c>
      <c r="J80" s="46" t="s">
        <v>57</v>
      </c>
    </row>
    <row r="81" spans="1:10" ht="22.5">
      <c r="A81" s="112"/>
      <c r="B81" s="112"/>
      <c r="C81" s="112"/>
      <c r="D81" s="5">
        <v>120</v>
      </c>
      <c r="E81" s="5">
        <v>30</v>
      </c>
      <c r="F81" s="22">
        <f t="shared" si="7"/>
        <v>0.25</v>
      </c>
      <c r="G81" s="6">
        <f>D81</f>
        <v>120</v>
      </c>
      <c r="H81" s="6">
        <v>120</v>
      </c>
      <c r="I81" s="22">
        <f t="shared" si="5"/>
        <v>1</v>
      </c>
      <c r="J81" s="46" t="s">
        <v>121</v>
      </c>
    </row>
    <row r="82" spans="1:10" ht="22.5">
      <c r="A82" s="112"/>
      <c r="B82" s="112"/>
      <c r="C82" s="112"/>
      <c r="D82" s="5">
        <v>88</v>
      </c>
      <c r="E82" s="5">
        <v>9.92</v>
      </c>
      <c r="F82" s="22">
        <f t="shared" si="7"/>
        <v>0.11272727272727273</v>
      </c>
      <c r="G82" s="5">
        <v>88</v>
      </c>
      <c r="H82" s="5">
        <v>87.87</v>
      </c>
      <c r="I82" s="22">
        <f>H82/G82</f>
        <v>0.9985227272727273</v>
      </c>
      <c r="J82" s="46" t="s">
        <v>66</v>
      </c>
    </row>
    <row r="83" spans="1:10" ht="22.5">
      <c r="A83" s="112"/>
      <c r="B83" s="112"/>
      <c r="C83" s="112"/>
      <c r="D83" s="5">
        <v>767.7</v>
      </c>
      <c r="E83" s="5">
        <v>767.7</v>
      </c>
      <c r="F83" s="22">
        <f t="shared" si="7"/>
        <v>1</v>
      </c>
      <c r="G83" s="5">
        <v>767.7</v>
      </c>
      <c r="H83" s="5">
        <v>767.7</v>
      </c>
      <c r="I83" s="22">
        <f>H83/G83</f>
        <v>1</v>
      </c>
      <c r="J83" s="46" t="s">
        <v>125</v>
      </c>
    </row>
    <row r="84" spans="1:12" ht="52.5" customHeight="1">
      <c r="A84" s="112"/>
      <c r="B84" s="112"/>
      <c r="C84" s="112"/>
      <c r="D84" s="5">
        <v>460.53</v>
      </c>
      <c r="E84" s="5"/>
      <c r="F84" s="22">
        <f t="shared" si="7"/>
        <v>0</v>
      </c>
      <c r="G84" s="6">
        <f>D84</f>
        <v>460.53</v>
      </c>
      <c r="H84" s="5">
        <v>460.53</v>
      </c>
      <c r="I84" s="22">
        <f t="shared" si="5"/>
        <v>1</v>
      </c>
      <c r="J84" s="46" t="s">
        <v>64</v>
      </c>
      <c r="L84" s="54"/>
    </row>
    <row r="85" spans="1:10" ht="16.5" customHeight="1">
      <c r="A85" s="109" t="s">
        <v>81</v>
      </c>
      <c r="B85" s="109" t="s">
        <v>43</v>
      </c>
      <c r="C85" s="38" t="s">
        <v>36</v>
      </c>
      <c r="D85" s="33">
        <f>D86+D89+D90+D91+D87+D88</f>
        <v>5910.86987</v>
      </c>
      <c r="E85" s="33">
        <f>E86+E89+E90+E91+E87+E88</f>
        <v>303.34397</v>
      </c>
      <c r="F85" s="33">
        <f>F86+F89+F90+F91+F87+F88</f>
        <v>0.07215071438595157</v>
      </c>
      <c r="G85" s="33">
        <f>G86+G89+G90+G91+G87+G88</f>
        <v>5910.86987</v>
      </c>
      <c r="H85" s="33">
        <f>H86+H89+H90+H91+H87+H88</f>
        <v>5697.245800000001</v>
      </c>
      <c r="I85" s="34">
        <f t="shared" si="5"/>
        <v>0.9638591146991365</v>
      </c>
      <c r="J85" s="47"/>
    </row>
    <row r="86" spans="1:10" ht="24.75" customHeight="1">
      <c r="A86" s="110"/>
      <c r="B86" s="110"/>
      <c r="C86" s="73" t="s">
        <v>37</v>
      </c>
      <c r="D86" s="5">
        <v>409.3681</v>
      </c>
      <c r="E86" s="5"/>
      <c r="F86" s="22">
        <f t="shared" si="7"/>
        <v>0</v>
      </c>
      <c r="G86" s="6">
        <f>D86</f>
        <v>409.3681</v>
      </c>
      <c r="H86" s="5">
        <v>309.0729</v>
      </c>
      <c r="I86" s="22">
        <f t="shared" si="5"/>
        <v>0.7549999621367663</v>
      </c>
      <c r="J86" s="106" t="s">
        <v>106</v>
      </c>
    </row>
    <row r="87" spans="1:10" ht="27" customHeight="1">
      <c r="A87" s="110"/>
      <c r="B87" s="110"/>
      <c r="C87" s="73" t="s">
        <v>104</v>
      </c>
      <c r="D87" s="5">
        <f>426.07697</f>
        <v>426.07697</v>
      </c>
      <c r="E87" s="5"/>
      <c r="F87" s="22">
        <f t="shared" si="7"/>
        <v>0</v>
      </c>
      <c r="G87" s="6">
        <f>D87</f>
        <v>426.07697</v>
      </c>
      <c r="H87" s="5">
        <f>321.6881</f>
        <v>321.6881</v>
      </c>
      <c r="I87" s="22">
        <f t="shared" si="5"/>
        <v>0.7549999710146268</v>
      </c>
      <c r="J87" s="107"/>
    </row>
    <row r="88" spans="1:10" ht="38.25" customHeight="1">
      <c r="A88" s="110"/>
      <c r="B88" s="110"/>
      <c r="C88" s="73" t="s">
        <v>105</v>
      </c>
      <c r="D88" s="5">
        <v>804.0488</v>
      </c>
      <c r="E88" s="5"/>
      <c r="F88" s="22">
        <f t="shared" si="7"/>
        <v>0</v>
      </c>
      <c r="G88" s="6">
        <f>D88</f>
        <v>804.0488</v>
      </c>
      <c r="H88" s="5">
        <v>804.0488</v>
      </c>
      <c r="I88" s="22">
        <f t="shared" si="5"/>
        <v>1</v>
      </c>
      <c r="J88" s="107"/>
    </row>
    <row r="89" spans="1:10" ht="24" customHeight="1">
      <c r="A89" s="110"/>
      <c r="B89" s="110"/>
      <c r="C89" s="73" t="s">
        <v>39</v>
      </c>
      <c r="D89" s="5">
        <v>20</v>
      </c>
      <c r="E89" s="5"/>
      <c r="F89" s="22">
        <f t="shared" si="7"/>
        <v>0</v>
      </c>
      <c r="G89" s="6">
        <f>D89</f>
        <v>20</v>
      </c>
      <c r="H89" s="6">
        <v>20</v>
      </c>
      <c r="I89" s="22">
        <f t="shared" si="5"/>
        <v>1</v>
      </c>
      <c r="J89" s="108"/>
    </row>
    <row r="90" spans="1:10" ht="30.75" customHeight="1">
      <c r="A90" s="110"/>
      <c r="B90" s="110"/>
      <c r="C90" s="73" t="s">
        <v>45</v>
      </c>
      <c r="D90" s="5">
        <v>47.066</v>
      </c>
      <c r="E90" s="5"/>
      <c r="F90" s="22">
        <f t="shared" si="7"/>
        <v>0</v>
      </c>
      <c r="G90" s="5">
        <v>47.066</v>
      </c>
      <c r="H90" s="5">
        <v>47.066</v>
      </c>
      <c r="I90" s="22">
        <f t="shared" si="5"/>
        <v>1</v>
      </c>
      <c r="J90" s="50" t="s">
        <v>46</v>
      </c>
    </row>
    <row r="91" spans="1:10" ht="127.5" customHeight="1">
      <c r="A91" s="110"/>
      <c r="B91" s="110"/>
      <c r="C91" s="109" t="s">
        <v>40</v>
      </c>
      <c r="D91" s="8">
        <f>SUM(D92:D98)</f>
        <v>4204.3099999999995</v>
      </c>
      <c r="E91" s="8">
        <f>SUM(E92:E98)</f>
        <v>303.34397</v>
      </c>
      <c r="F91" s="18">
        <f t="shared" si="7"/>
        <v>0.07215071438595157</v>
      </c>
      <c r="G91" s="8">
        <f>SUM(G92:G98)</f>
        <v>4204.3099999999995</v>
      </c>
      <c r="H91" s="8">
        <f>SUM(H92:H98)</f>
        <v>4195.370000000001</v>
      </c>
      <c r="I91" s="18">
        <f t="shared" si="5"/>
        <v>0.9978736106519266</v>
      </c>
      <c r="J91" s="44" t="s">
        <v>23</v>
      </c>
    </row>
    <row r="92" spans="1:10" ht="15.75">
      <c r="A92" s="110"/>
      <c r="B92" s="110"/>
      <c r="C92" s="110"/>
      <c r="D92" s="5">
        <v>43.85</v>
      </c>
      <c r="E92" s="5">
        <v>11.5</v>
      </c>
      <c r="F92" s="22">
        <f t="shared" si="7"/>
        <v>0.26225769669327254</v>
      </c>
      <c r="G92" s="6">
        <f aca="true" t="shared" si="8" ref="G92:G98">D92</f>
        <v>43.85</v>
      </c>
      <c r="H92" s="6">
        <v>35</v>
      </c>
      <c r="I92" s="22">
        <f t="shared" si="5"/>
        <v>0.798175598631699</v>
      </c>
      <c r="J92" s="46" t="s">
        <v>14</v>
      </c>
    </row>
    <row r="93" spans="1:10" ht="56.25">
      <c r="A93" s="110"/>
      <c r="B93" s="110"/>
      <c r="C93" s="110"/>
      <c r="D93" s="6">
        <v>389.86</v>
      </c>
      <c r="E93" s="5">
        <v>4.2656</v>
      </c>
      <c r="F93" s="22">
        <f t="shared" si="7"/>
        <v>0.010941363566408454</v>
      </c>
      <c r="G93" s="6">
        <f t="shared" si="8"/>
        <v>389.86</v>
      </c>
      <c r="H93" s="6">
        <v>389.86</v>
      </c>
      <c r="I93" s="22">
        <f>H93/G93</f>
        <v>1</v>
      </c>
      <c r="J93" s="46" t="s">
        <v>122</v>
      </c>
    </row>
    <row r="94" spans="1:10" ht="37.5" customHeight="1">
      <c r="A94" s="110"/>
      <c r="B94" s="110"/>
      <c r="C94" s="110"/>
      <c r="D94" s="5">
        <v>940</v>
      </c>
      <c r="E94" s="5">
        <v>235.5</v>
      </c>
      <c r="F94" s="22">
        <f t="shared" si="7"/>
        <v>0.25053191489361704</v>
      </c>
      <c r="G94" s="6">
        <f t="shared" si="8"/>
        <v>940</v>
      </c>
      <c r="H94" s="6">
        <v>940</v>
      </c>
      <c r="I94" s="22">
        <f>H94/G94</f>
        <v>1</v>
      </c>
      <c r="J94" s="46" t="s">
        <v>30</v>
      </c>
    </row>
    <row r="95" spans="1:10" ht="22.5">
      <c r="A95" s="110"/>
      <c r="B95" s="110"/>
      <c r="C95" s="110"/>
      <c r="D95" s="5">
        <v>150</v>
      </c>
      <c r="E95" s="5">
        <v>37.5</v>
      </c>
      <c r="F95" s="22">
        <f t="shared" si="7"/>
        <v>0.25</v>
      </c>
      <c r="G95" s="6">
        <f t="shared" si="8"/>
        <v>150</v>
      </c>
      <c r="H95" s="6">
        <v>150</v>
      </c>
      <c r="I95" s="22">
        <f t="shared" si="5"/>
        <v>1</v>
      </c>
      <c r="J95" s="46" t="s">
        <v>15</v>
      </c>
    </row>
    <row r="96" spans="1:10" ht="22.5">
      <c r="A96" s="110"/>
      <c r="B96" s="110"/>
      <c r="C96" s="110"/>
      <c r="D96" s="5">
        <v>176.77</v>
      </c>
      <c r="E96" s="5">
        <v>14.57837</v>
      </c>
      <c r="F96" s="22">
        <f t="shared" si="7"/>
        <v>0.0824708378118459</v>
      </c>
      <c r="G96" s="6">
        <f t="shared" si="8"/>
        <v>176.77</v>
      </c>
      <c r="H96" s="6">
        <v>176.68</v>
      </c>
      <c r="I96" s="22">
        <f t="shared" si="5"/>
        <v>0.999490863834361</v>
      </c>
      <c r="J96" s="46" t="s">
        <v>123</v>
      </c>
    </row>
    <row r="97" spans="1:10" ht="22.5">
      <c r="A97" s="110"/>
      <c r="B97" s="110"/>
      <c r="C97" s="110"/>
      <c r="D97" s="5">
        <v>1559.1</v>
      </c>
      <c r="E97" s="5"/>
      <c r="F97" s="22">
        <f t="shared" si="7"/>
        <v>0</v>
      </c>
      <c r="G97" s="6">
        <f t="shared" si="8"/>
        <v>1559.1</v>
      </c>
      <c r="H97" s="6">
        <v>1559.1</v>
      </c>
      <c r="I97" s="22">
        <f t="shared" si="5"/>
        <v>1</v>
      </c>
      <c r="J97" s="46" t="s">
        <v>124</v>
      </c>
    </row>
    <row r="98" spans="1:10" ht="75" customHeight="1">
      <c r="A98" s="111"/>
      <c r="B98" s="111"/>
      <c r="C98" s="111"/>
      <c r="D98" s="5">
        <v>944.73</v>
      </c>
      <c r="E98" s="5">
        <v>0</v>
      </c>
      <c r="F98" s="22">
        <f t="shared" si="7"/>
        <v>0</v>
      </c>
      <c r="G98" s="6">
        <f t="shared" si="8"/>
        <v>944.73</v>
      </c>
      <c r="H98" s="5">
        <v>944.73</v>
      </c>
      <c r="I98" s="22">
        <f t="shared" si="5"/>
        <v>1</v>
      </c>
      <c r="J98" s="55" t="s">
        <v>108</v>
      </c>
    </row>
    <row r="99" spans="1:10" ht="43.5" customHeight="1">
      <c r="A99" s="109" t="s">
        <v>91</v>
      </c>
      <c r="B99" s="109"/>
      <c r="C99" s="109" t="s">
        <v>40</v>
      </c>
      <c r="D99" s="8">
        <f>SUM(D100:D101)</f>
        <v>0</v>
      </c>
      <c r="E99" s="8">
        <f>SUM(E100:E101)</f>
        <v>0</v>
      </c>
      <c r="F99" s="18" t="e">
        <f t="shared" si="7"/>
        <v>#DIV/0!</v>
      </c>
      <c r="G99" s="8">
        <f>SUM(G100:G101)</f>
        <v>0</v>
      </c>
      <c r="H99" s="8">
        <f>SUM(H100:H101)</f>
        <v>0</v>
      </c>
      <c r="I99" s="18" t="e">
        <f t="shared" si="5"/>
        <v>#DIV/0!</v>
      </c>
      <c r="J99" s="51" t="s">
        <v>92</v>
      </c>
    </row>
    <row r="100" spans="1:10" ht="45">
      <c r="A100" s="110"/>
      <c r="B100" s="110"/>
      <c r="C100" s="110"/>
      <c r="D100" s="5"/>
      <c r="E100" s="5"/>
      <c r="F100" s="22" t="e">
        <f t="shared" si="7"/>
        <v>#DIV/0!</v>
      </c>
      <c r="G100" s="6">
        <f>D100</f>
        <v>0</v>
      </c>
      <c r="H100" s="6">
        <f>E100</f>
        <v>0</v>
      </c>
      <c r="I100" s="22" t="e">
        <f>H100/G100</f>
        <v>#DIV/0!</v>
      </c>
      <c r="J100" s="46" t="s">
        <v>93</v>
      </c>
    </row>
    <row r="101" spans="1:10" ht="51.75" customHeight="1">
      <c r="A101" s="111"/>
      <c r="B101" s="111"/>
      <c r="C101" s="111"/>
      <c r="D101" s="5"/>
      <c r="E101" s="5"/>
      <c r="F101" s="22" t="e">
        <f t="shared" si="7"/>
        <v>#DIV/0!</v>
      </c>
      <c r="G101" s="6">
        <f>D101</f>
        <v>0</v>
      </c>
      <c r="H101" s="6">
        <f>E101</f>
        <v>0</v>
      </c>
      <c r="I101" s="22" t="e">
        <f>H101/G101</f>
        <v>#DIV/0!</v>
      </c>
      <c r="J101" s="46" t="s">
        <v>94</v>
      </c>
    </row>
    <row r="102" spans="1:10" ht="16.5" customHeight="1">
      <c r="A102" s="112" t="s">
        <v>41</v>
      </c>
      <c r="B102" s="112"/>
      <c r="C102" s="38" t="s">
        <v>36</v>
      </c>
      <c r="D102" s="59">
        <f>D14+D25+D35+D65+D85+D99</f>
        <v>50558.36317999999</v>
      </c>
      <c r="E102" s="59">
        <f>E14+E25+E35+E65+E85+E99</f>
        <v>11231.210000000001</v>
      </c>
      <c r="F102" s="34">
        <f t="shared" si="7"/>
        <v>0.22214346536524884</v>
      </c>
      <c r="G102" s="59">
        <f>G14+G25+G35+G65+G85+G99</f>
        <v>50623.367179999994</v>
      </c>
      <c r="H102" s="59">
        <f>H14+H25+H35+H65+H85+H99</f>
        <v>48330.46471</v>
      </c>
      <c r="I102" s="34">
        <f t="shared" si="5"/>
        <v>0.954706638500612</v>
      </c>
      <c r="J102" s="35"/>
    </row>
    <row r="103" spans="1:10" ht="24">
      <c r="A103" s="112"/>
      <c r="B103" s="112"/>
      <c r="C103" s="73" t="s">
        <v>37</v>
      </c>
      <c r="D103" s="60">
        <f>D15+D26+D37+D66+D86</f>
        <v>409.3681</v>
      </c>
      <c r="E103" s="60">
        <f>E15+E26+E37+E66+E86</f>
        <v>0</v>
      </c>
      <c r="F103" s="18">
        <f t="shared" si="7"/>
        <v>0</v>
      </c>
      <c r="G103" s="60">
        <f>G15+G26+G37+G66+G86</f>
        <v>409.3681</v>
      </c>
      <c r="H103" s="60">
        <f>H15+H26+H37+H66+H86</f>
        <v>309.0729</v>
      </c>
      <c r="I103" s="18">
        <f t="shared" si="5"/>
        <v>0.7549999621367663</v>
      </c>
      <c r="J103" s="20"/>
    </row>
    <row r="104" spans="1:10" ht="24">
      <c r="A104" s="112"/>
      <c r="B104" s="112"/>
      <c r="C104" s="73" t="s">
        <v>38</v>
      </c>
      <c r="D104" s="60">
        <f>D16+D27+D38+D67+D87+D88</f>
        <v>10487.005770000002</v>
      </c>
      <c r="E104" s="60">
        <f>E16+E27+E38+E67+E87+E88</f>
        <v>1792.79</v>
      </c>
      <c r="F104" s="18">
        <f t="shared" si="7"/>
        <v>0.1709534674929429</v>
      </c>
      <c r="G104" s="60">
        <f>G16+G27+G38+G67+G87+G88</f>
        <v>10487.005770000002</v>
      </c>
      <c r="H104" s="60">
        <f>H16+H27+H38+H67+H87+H88</f>
        <v>10294.2769</v>
      </c>
      <c r="I104" s="18">
        <f t="shared" si="5"/>
        <v>0.9816221260646831</v>
      </c>
      <c r="J104" s="20"/>
    </row>
    <row r="105" spans="1:10" ht="15.75">
      <c r="A105" s="112"/>
      <c r="B105" s="112"/>
      <c r="C105" s="73" t="s">
        <v>39</v>
      </c>
      <c r="D105" s="60">
        <f>D17+D28+D44+D72+D89</f>
        <v>20</v>
      </c>
      <c r="E105" s="60">
        <f>E17+E28+E44+E72+E89</f>
        <v>0</v>
      </c>
      <c r="F105" s="18">
        <f t="shared" si="7"/>
        <v>0</v>
      </c>
      <c r="G105" s="60">
        <f>G17+G28+G44+G72+G89</f>
        <v>20</v>
      </c>
      <c r="H105" s="60">
        <f>H17+H28+H44+H72+H89</f>
        <v>20</v>
      </c>
      <c r="I105" s="18">
        <f t="shared" si="5"/>
        <v>1</v>
      </c>
      <c r="J105" s="20"/>
    </row>
    <row r="106" spans="1:10" ht="15.75">
      <c r="A106" s="112"/>
      <c r="B106" s="112"/>
      <c r="C106" s="73" t="s">
        <v>45</v>
      </c>
      <c r="D106" s="60">
        <f>D18+D29+D45+D46+D73+D90</f>
        <v>1754.5420000000001</v>
      </c>
      <c r="E106" s="60">
        <f>E18+E29+E45+E46+E73+E90</f>
        <v>499.8</v>
      </c>
      <c r="F106" s="18">
        <f t="shared" si="7"/>
        <v>0.2848606644925</v>
      </c>
      <c r="G106" s="60">
        <f>G18+G29+G45+G46+G73+G90</f>
        <v>1819.546</v>
      </c>
      <c r="H106" s="60">
        <f>H18+H29+H45+H46+H73+H90</f>
        <v>1416.866</v>
      </c>
      <c r="I106" s="18">
        <f t="shared" si="5"/>
        <v>0.7786920473568681</v>
      </c>
      <c r="J106" s="20"/>
    </row>
    <row r="107" spans="1:10" ht="36">
      <c r="A107" s="112"/>
      <c r="B107" s="112"/>
      <c r="C107" s="42" t="s">
        <v>40</v>
      </c>
      <c r="D107" s="60">
        <f>D19+D30+D47+D74+D91+D99</f>
        <v>37887.447309999996</v>
      </c>
      <c r="E107" s="60">
        <f>E19+E30+E47+E74+E91+E99</f>
        <v>8938.62</v>
      </c>
      <c r="F107" s="18">
        <f t="shared" si="7"/>
        <v>0.2359256332806762</v>
      </c>
      <c r="G107" s="60">
        <f>G19+G30+G47+G74+G91+G99</f>
        <v>37887.447309999996</v>
      </c>
      <c r="H107" s="60">
        <f>H19+H30+H47+H74+H91+H99</f>
        <v>36290.24891</v>
      </c>
      <c r="I107" s="18">
        <f t="shared" si="5"/>
        <v>0.9578435995718712</v>
      </c>
      <c r="J107" s="20"/>
    </row>
  </sheetData>
  <sheetProtection/>
  <mergeCells count="35">
    <mergeCell ref="J86:J89"/>
    <mergeCell ref="C91:C98"/>
    <mergeCell ref="A99:A101"/>
    <mergeCell ref="B99:B101"/>
    <mergeCell ref="C99:C101"/>
    <mergeCell ref="A102:A107"/>
    <mergeCell ref="B102:B107"/>
    <mergeCell ref="A65:A84"/>
    <mergeCell ref="B65:B84"/>
    <mergeCell ref="C67:C71"/>
    <mergeCell ref="C74:C84"/>
    <mergeCell ref="A85:A98"/>
    <mergeCell ref="B85:B98"/>
    <mergeCell ref="A25:A34"/>
    <mergeCell ref="B25:B34"/>
    <mergeCell ref="C30:C34"/>
    <mergeCell ref="A35:A64"/>
    <mergeCell ref="B35:B64"/>
    <mergeCell ref="C36:C37"/>
    <mergeCell ref="C38:C42"/>
    <mergeCell ref="C45:C46"/>
    <mergeCell ref="C47:C64"/>
    <mergeCell ref="A11:A12"/>
    <mergeCell ref="B11:B12"/>
    <mergeCell ref="C11:C12"/>
    <mergeCell ref="D11:F11"/>
    <mergeCell ref="G11:J11"/>
    <mergeCell ref="A14:A24"/>
    <mergeCell ref="B14:B24"/>
    <mergeCell ref="C19:C24"/>
    <mergeCell ref="C4:J4"/>
    <mergeCell ref="C5:J5"/>
    <mergeCell ref="A6:J6"/>
    <mergeCell ref="A7:J7"/>
    <mergeCell ref="A8:J8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2019-01-21T08:04:51Z</cp:lastPrinted>
  <dcterms:created xsi:type="dcterms:W3CDTF">2007-10-25T07:17:21Z</dcterms:created>
  <dcterms:modified xsi:type="dcterms:W3CDTF">2019-03-14T07:38:37Z</dcterms:modified>
  <cp:category/>
  <cp:version/>
  <cp:contentType/>
  <cp:contentStatus/>
</cp:coreProperties>
</file>